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tables/table1.xml" ContentType="application/vnd.openxmlformats-officedocument.spreadsheetml.table+xml"/>
  <Override PartName="/xl/pivotTables/pivotTable6.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ätlin\Desktop\Volikogu istung\DETSEMBER\16.12.2021\"/>
    </mc:Choice>
  </mc:AlternateContent>
  <bookViews>
    <workbookView xWindow="0" yWindow="0" windowWidth="23040" windowHeight="9192" tabRatio="931"/>
  </bookViews>
  <sheets>
    <sheet name="EA_aruanne" sheetId="14" r:id="rId1"/>
    <sheet name="EA_aruanne analüüs" sheetId="1" state="hidden" r:id="rId2"/>
    <sheet name="Lisa 1 Investeeringud 2022" sheetId="13" r:id="rId3"/>
    <sheet name="Kulud" sheetId="6" state="hidden" r:id="rId4"/>
    <sheet name="Kulud tegevusalade lõikes" sheetId="9" state="hidden" r:id="rId5"/>
    <sheet name="Kulude ülevaade asutuste lõikes" sheetId="12" state="hidden" r:id="rId6"/>
    <sheet name="Töötasud" sheetId="15" state="hidden" r:id="rId7"/>
    <sheet name="Eelarve kulud 2022" sheetId="5" state="hidden" r:id="rId8"/>
    <sheet name="Tulud" sheetId="11" state="hidden" r:id="rId9"/>
    <sheet name="Eelarve tulud 2022" sheetId="10" state="hidden" r:id="rId10"/>
    <sheet name="Kontode täpsustused" sheetId="7" state="hidden" r:id="rId11"/>
    <sheet name="Tegevusalade nimetused" sheetId="8" state="hidden" r:id="rId12"/>
  </sheets>
  <definedNames>
    <definedName name="_xlnm.Print_Area" localSheetId="1">'EA_aruanne analüüs'!$A$1:$K$146</definedName>
    <definedName name="_xlnm.Print_Area" localSheetId="11">Table4[[#All],[Tegevusala kood]:[Tegevusala nimetus]]</definedName>
  </definedNames>
  <calcPr calcId="162913"/>
  <pivotCaches>
    <pivotCache cacheId="0" r:id="rId13"/>
    <pivotCache cacheId="1" r:id="rId1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49" i="5" l="1"/>
  <c r="D120" i="1" l="1"/>
  <c r="D1555" i="5" l="1"/>
  <c r="E1555" i="5"/>
  <c r="M1555" i="5"/>
  <c r="N1555" i="5"/>
  <c r="Q1555" i="5"/>
  <c r="R1555" i="5"/>
  <c r="U1555" i="5"/>
  <c r="D1554" i="5"/>
  <c r="E1554" i="5"/>
  <c r="M1554" i="5"/>
  <c r="N1554" i="5"/>
  <c r="Q1554" i="5"/>
  <c r="R1554" i="5"/>
  <c r="U1554" i="5"/>
  <c r="B844" i="5" l="1"/>
  <c r="U844" i="5" s="1"/>
  <c r="D844" i="5"/>
  <c r="E844" i="5"/>
  <c r="M844" i="5"/>
  <c r="N844" i="5"/>
  <c r="Q844" i="5"/>
  <c r="R844" i="5"/>
  <c r="B1542" i="5" l="1"/>
  <c r="D1553" i="5" l="1"/>
  <c r="E1553" i="5"/>
  <c r="M1553" i="5"/>
  <c r="N1553" i="5"/>
  <c r="Q1553" i="5"/>
  <c r="R1553" i="5"/>
  <c r="U1553" i="5"/>
  <c r="D1552" i="5"/>
  <c r="E1552" i="5"/>
  <c r="M1552" i="5"/>
  <c r="N1552" i="5"/>
  <c r="Q1552" i="5"/>
  <c r="R1552" i="5"/>
  <c r="U1552" i="5"/>
  <c r="D1551" i="5" l="1"/>
  <c r="E1551" i="5"/>
  <c r="M1551" i="5"/>
  <c r="N1551" i="5"/>
  <c r="Q1551" i="5"/>
  <c r="R1551" i="5"/>
  <c r="U1551" i="5"/>
  <c r="D1550" i="5"/>
  <c r="E1550" i="5"/>
  <c r="M1550" i="5"/>
  <c r="N1550" i="5"/>
  <c r="Q1550" i="5"/>
  <c r="R1550" i="5"/>
  <c r="U1550" i="5"/>
  <c r="D1549" i="5" l="1"/>
  <c r="E1549" i="5"/>
  <c r="M1549" i="5"/>
  <c r="N1549" i="5"/>
  <c r="Q1549" i="5"/>
  <c r="R1549" i="5"/>
  <c r="U1549" i="5"/>
  <c r="F39" i="1" l="1"/>
  <c r="D44" i="14" l="1"/>
  <c r="D45" i="14"/>
  <c r="D46" i="14"/>
  <c r="D47" i="14"/>
  <c r="D48" i="14"/>
  <c r="D52" i="14"/>
  <c r="D61" i="14"/>
  <c r="D62" i="14"/>
  <c r="D63" i="14"/>
  <c r="D64" i="14"/>
  <c r="D65" i="14"/>
  <c r="D66" i="14"/>
  <c r="D67" i="14"/>
  <c r="D68" i="14"/>
  <c r="D69" i="14"/>
  <c r="D73" i="14"/>
  <c r="D74" i="14"/>
  <c r="D75" i="14"/>
  <c r="D76" i="14"/>
  <c r="D77" i="14"/>
  <c r="D81" i="14"/>
  <c r="D82" i="14"/>
  <c r="D83" i="14"/>
  <c r="D84" i="14"/>
  <c r="D85" i="14"/>
  <c r="D86" i="14"/>
  <c r="D87" i="14"/>
  <c r="D88" i="14"/>
  <c r="D89" i="14"/>
  <c r="D90" i="14"/>
  <c r="D91" i="14"/>
  <c r="D92" i="14"/>
  <c r="D93" i="14"/>
  <c r="D99" i="14"/>
  <c r="D100" i="14"/>
  <c r="D101" i="14"/>
  <c r="D102" i="14"/>
  <c r="D103" i="14"/>
  <c r="D104" i="14"/>
  <c r="D105" i="14"/>
  <c r="D106" i="14"/>
  <c r="D107" i="14"/>
  <c r="D108" i="14"/>
  <c r="D109" i="14"/>
  <c r="D110" i="14"/>
  <c r="D111" i="14"/>
  <c r="D114" i="14"/>
  <c r="D115" i="14"/>
  <c r="D116" i="14"/>
  <c r="D117" i="14"/>
  <c r="D118" i="14"/>
  <c r="D135" i="14"/>
  <c r="D54" i="14"/>
  <c r="D55" i="14"/>
  <c r="D56" i="14"/>
  <c r="D11" i="14"/>
  <c r="D13" i="14"/>
  <c r="D1548" i="5" l="1"/>
  <c r="E1548" i="5"/>
  <c r="M1548" i="5"/>
  <c r="N1548" i="5"/>
  <c r="Q1548" i="5"/>
  <c r="R1548" i="5"/>
  <c r="U1548" i="5"/>
  <c r="D1546" i="5"/>
  <c r="D1547" i="5"/>
  <c r="E1546" i="5"/>
  <c r="E1547" i="5"/>
  <c r="M1546" i="5"/>
  <c r="M1547" i="5"/>
  <c r="N1546" i="5"/>
  <c r="N1547" i="5"/>
  <c r="Q1546" i="5"/>
  <c r="Q1547" i="5"/>
  <c r="R1546" i="5"/>
  <c r="R1547" i="5"/>
  <c r="U1546" i="5"/>
  <c r="U1547" i="5"/>
  <c r="D1545" i="5"/>
  <c r="E1545" i="5"/>
  <c r="M1545" i="5"/>
  <c r="N1545" i="5"/>
  <c r="Q1545" i="5"/>
  <c r="R1545" i="5"/>
  <c r="U1545" i="5"/>
  <c r="D1544" i="5"/>
  <c r="E1544" i="5"/>
  <c r="M1544" i="5"/>
  <c r="N1544" i="5"/>
  <c r="Q1544" i="5"/>
  <c r="R1544" i="5"/>
  <c r="U1544" i="5"/>
  <c r="D1543" i="5"/>
  <c r="E1543" i="5"/>
  <c r="M1543" i="5"/>
  <c r="N1543" i="5"/>
  <c r="Q1543" i="5"/>
  <c r="R1543" i="5"/>
  <c r="U1543" i="5"/>
  <c r="D1541" i="5"/>
  <c r="D1542" i="5"/>
  <c r="E1541" i="5"/>
  <c r="E1542" i="5"/>
  <c r="M1541" i="5"/>
  <c r="M1542" i="5"/>
  <c r="N1541" i="5"/>
  <c r="N1542" i="5"/>
  <c r="Q1541" i="5"/>
  <c r="Q1542" i="5"/>
  <c r="R1541" i="5"/>
  <c r="R1542" i="5"/>
  <c r="U1541" i="5"/>
  <c r="U1542" i="5"/>
  <c r="D1539" i="5"/>
  <c r="D1540" i="5"/>
  <c r="E1539" i="5"/>
  <c r="E1540" i="5"/>
  <c r="M1539" i="5"/>
  <c r="M1540" i="5"/>
  <c r="N1539" i="5"/>
  <c r="N1540" i="5"/>
  <c r="Q1539" i="5"/>
  <c r="Q1540" i="5"/>
  <c r="R1539" i="5"/>
  <c r="R1540" i="5"/>
  <c r="U1539" i="5"/>
  <c r="U1540" i="5"/>
  <c r="D1538" i="5"/>
  <c r="E1538" i="5"/>
  <c r="M1538" i="5"/>
  <c r="N1538" i="5"/>
  <c r="Q1538" i="5"/>
  <c r="R1538" i="5"/>
  <c r="U1538" i="5"/>
  <c r="D1536" i="5"/>
  <c r="D1537" i="5"/>
  <c r="E1536" i="5"/>
  <c r="E1537" i="5"/>
  <c r="M1536" i="5"/>
  <c r="M1537" i="5"/>
  <c r="N1536" i="5"/>
  <c r="N1537" i="5"/>
  <c r="Q1536" i="5"/>
  <c r="Q1537" i="5"/>
  <c r="R1536" i="5"/>
  <c r="R1537" i="5"/>
  <c r="U1536" i="5"/>
  <c r="U1537" i="5"/>
  <c r="D1535" i="5"/>
  <c r="E1535" i="5"/>
  <c r="M1535" i="5"/>
  <c r="N1535" i="5"/>
  <c r="Q1535" i="5"/>
  <c r="R1535" i="5"/>
  <c r="U1535" i="5"/>
  <c r="D1534" i="5"/>
  <c r="E1534" i="5"/>
  <c r="M1534" i="5"/>
  <c r="N1534" i="5"/>
  <c r="Q1534" i="5"/>
  <c r="R1534" i="5"/>
  <c r="U1534" i="5"/>
  <c r="D1532" i="5"/>
  <c r="D1533" i="5"/>
  <c r="E1532" i="5"/>
  <c r="E1533" i="5"/>
  <c r="M1532" i="5"/>
  <c r="M1533" i="5"/>
  <c r="N1532" i="5"/>
  <c r="N1533" i="5"/>
  <c r="Q1532" i="5"/>
  <c r="Q1533" i="5"/>
  <c r="R1532" i="5"/>
  <c r="R1533" i="5"/>
  <c r="U1532" i="5"/>
  <c r="U1533" i="5"/>
  <c r="D1531" i="5"/>
  <c r="E1531" i="5"/>
  <c r="M1531" i="5"/>
  <c r="N1531" i="5"/>
  <c r="Q1531" i="5"/>
  <c r="R1531" i="5"/>
  <c r="U1531" i="5"/>
  <c r="D1530" i="5"/>
  <c r="E1530" i="5"/>
  <c r="M1530" i="5"/>
  <c r="N1530" i="5"/>
  <c r="Q1530" i="5"/>
  <c r="R1530" i="5"/>
  <c r="U1530" i="5"/>
  <c r="D1529" i="5"/>
  <c r="E1529" i="5"/>
  <c r="M1529" i="5"/>
  <c r="N1529" i="5"/>
  <c r="Q1529" i="5"/>
  <c r="R1529" i="5"/>
  <c r="U1529" i="5"/>
  <c r="D1527" i="5"/>
  <c r="D1528" i="5"/>
  <c r="E1527" i="5"/>
  <c r="E1528" i="5"/>
  <c r="M1527" i="5"/>
  <c r="M1528" i="5"/>
  <c r="N1527" i="5"/>
  <c r="N1528" i="5"/>
  <c r="Q1527" i="5"/>
  <c r="Q1528" i="5"/>
  <c r="R1527" i="5"/>
  <c r="R1528" i="5"/>
  <c r="U1527" i="5"/>
  <c r="U1528" i="5"/>
  <c r="D1525" i="5"/>
  <c r="D1526" i="5"/>
  <c r="E1525" i="5"/>
  <c r="E1526" i="5"/>
  <c r="M1525" i="5"/>
  <c r="M1526" i="5"/>
  <c r="N1525" i="5"/>
  <c r="N1526" i="5"/>
  <c r="Q1525" i="5"/>
  <c r="Q1526" i="5"/>
  <c r="R1525" i="5"/>
  <c r="R1526" i="5"/>
  <c r="U1525" i="5"/>
  <c r="U1526" i="5"/>
  <c r="D1524" i="5"/>
  <c r="E1524" i="5"/>
  <c r="M1524" i="5"/>
  <c r="N1524" i="5"/>
  <c r="Q1524" i="5"/>
  <c r="R1524" i="5"/>
  <c r="U1524" i="5"/>
  <c r="D1523" i="5"/>
  <c r="E1523" i="5"/>
  <c r="M1523" i="5"/>
  <c r="N1523" i="5"/>
  <c r="Q1523" i="5"/>
  <c r="R1523" i="5"/>
  <c r="U1523" i="5"/>
  <c r="D1522" i="5"/>
  <c r="E1522" i="5"/>
  <c r="M1522" i="5"/>
  <c r="N1522" i="5"/>
  <c r="Q1522" i="5"/>
  <c r="R1522" i="5"/>
  <c r="U1522" i="5"/>
  <c r="D1521" i="5"/>
  <c r="E1521" i="5"/>
  <c r="M1521" i="5"/>
  <c r="N1521" i="5"/>
  <c r="Q1521" i="5"/>
  <c r="R1521" i="5"/>
  <c r="U1521" i="5"/>
  <c r="D1520" i="5"/>
  <c r="E1520" i="5"/>
  <c r="M1520" i="5"/>
  <c r="N1520" i="5"/>
  <c r="Q1520" i="5"/>
  <c r="R1520" i="5"/>
  <c r="U1520" i="5"/>
  <c r="M1519" i="5" l="1"/>
  <c r="B1519" i="5"/>
  <c r="U1519" i="5" s="1"/>
  <c r="D1519" i="5"/>
  <c r="E1519" i="5"/>
  <c r="N1519" i="5"/>
  <c r="Q1519" i="5"/>
  <c r="R1519" i="5"/>
  <c r="D1518" i="5" l="1"/>
  <c r="E1518" i="5"/>
  <c r="M1518" i="5"/>
  <c r="N1518" i="5"/>
  <c r="Q1518" i="5"/>
  <c r="R1518" i="5"/>
  <c r="U1518" i="5"/>
  <c r="D1517" i="5" l="1"/>
  <c r="E1517" i="5"/>
  <c r="M1517" i="5"/>
  <c r="N1517" i="5"/>
  <c r="Q1517" i="5"/>
  <c r="R1517" i="5"/>
  <c r="U1517" i="5"/>
  <c r="D610" i="5"/>
  <c r="E610" i="5"/>
  <c r="M610" i="5"/>
  <c r="N610" i="5"/>
  <c r="Q610" i="5"/>
  <c r="R610" i="5"/>
  <c r="U610" i="5"/>
  <c r="D1516" i="5"/>
  <c r="E1516" i="5"/>
  <c r="M1516" i="5"/>
  <c r="N1516" i="5"/>
  <c r="Q1516" i="5"/>
  <c r="R1516" i="5"/>
  <c r="U1516" i="5"/>
  <c r="D1515" i="5" l="1"/>
  <c r="E1515" i="5"/>
  <c r="M1515" i="5"/>
  <c r="N1515" i="5"/>
  <c r="Q1515" i="5"/>
  <c r="R1515" i="5"/>
  <c r="U1515" i="5"/>
  <c r="B1514" i="5"/>
  <c r="D1514" i="5"/>
  <c r="E1514" i="5"/>
  <c r="M1514" i="5"/>
  <c r="N1514" i="5"/>
  <c r="Q1514" i="5"/>
  <c r="R1514" i="5"/>
  <c r="U1514" i="5"/>
  <c r="B1513" i="5"/>
  <c r="D1513" i="5"/>
  <c r="E1513" i="5"/>
  <c r="M1513" i="5"/>
  <c r="N1513" i="5"/>
  <c r="Q1513" i="5"/>
  <c r="R1513" i="5"/>
  <c r="U1513" i="5"/>
  <c r="D1512" i="5"/>
  <c r="E1512" i="5"/>
  <c r="M1512" i="5"/>
  <c r="N1512" i="5"/>
  <c r="Q1512" i="5"/>
  <c r="R1512" i="5"/>
  <c r="U1512" i="5"/>
  <c r="D1511" i="5" l="1"/>
  <c r="E1511" i="5"/>
  <c r="M1511" i="5"/>
  <c r="N1511" i="5"/>
  <c r="Q1511" i="5"/>
  <c r="R1511" i="5"/>
  <c r="U1511" i="5"/>
  <c r="D1510" i="5"/>
  <c r="E1510" i="5"/>
  <c r="M1510" i="5"/>
  <c r="N1510" i="5"/>
  <c r="Q1510" i="5"/>
  <c r="R1510" i="5"/>
  <c r="U1510" i="5"/>
  <c r="D1509" i="5" l="1"/>
  <c r="E1509" i="5"/>
  <c r="M1509" i="5"/>
  <c r="N1509" i="5"/>
  <c r="Q1509" i="5"/>
  <c r="R1509" i="5"/>
  <c r="U1509" i="5"/>
  <c r="D1508" i="5"/>
  <c r="E1508" i="5"/>
  <c r="M1508" i="5"/>
  <c r="N1508" i="5"/>
  <c r="Q1508" i="5"/>
  <c r="R1508" i="5"/>
  <c r="U1508" i="5"/>
  <c r="D1507" i="5"/>
  <c r="E1507" i="5"/>
  <c r="M1507" i="5"/>
  <c r="N1507" i="5"/>
  <c r="Q1507" i="5"/>
  <c r="R1507" i="5"/>
  <c r="U1507" i="5"/>
  <c r="D1506" i="5"/>
  <c r="E1506" i="5"/>
  <c r="M1506" i="5"/>
  <c r="N1506" i="5"/>
  <c r="Q1506" i="5"/>
  <c r="R1506" i="5"/>
  <c r="U1506" i="5"/>
  <c r="D1505" i="5"/>
  <c r="E1505" i="5"/>
  <c r="M1505" i="5"/>
  <c r="N1505" i="5"/>
  <c r="Q1505" i="5"/>
  <c r="R1505" i="5"/>
  <c r="U1505" i="5"/>
  <c r="D1504" i="5"/>
  <c r="E1504" i="5"/>
  <c r="M1504" i="5"/>
  <c r="N1504" i="5"/>
  <c r="Q1504" i="5"/>
  <c r="R1504" i="5"/>
  <c r="U1504" i="5"/>
  <c r="D1503" i="5"/>
  <c r="E1503" i="5"/>
  <c r="M1503" i="5"/>
  <c r="N1503" i="5"/>
  <c r="Q1503" i="5"/>
  <c r="R1503" i="5"/>
  <c r="U1503" i="5"/>
  <c r="B1502" i="5"/>
  <c r="U1502" i="5" s="1"/>
  <c r="D1502" i="5"/>
  <c r="E1502" i="5"/>
  <c r="M1502" i="5"/>
  <c r="N1502" i="5"/>
  <c r="Q1502" i="5"/>
  <c r="R1502" i="5"/>
  <c r="B1501" i="5"/>
  <c r="U1501" i="5" s="1"/>
  <c r="D1501" i="5"/>
  <c r="E1501" i="5"/>
  <c r="M1501" i="5"/>
  <c r="N1501" i="5"/>
  <c r="Q1501" i="5"/>
  <c r="R1501" i="5"/>
  <c r="D1500" i="5"/>
  <c r="E1500" i="5"/>
  <c r="M1500" i="5"/>
  <c r="N1500" i="5"/>
  <c r="Q1500" i="5"/>
  <c r="R1500" i="5"/>
  <c r="U1500" i="5"/>
  <c r="B1441" i="5"/>
  <c r="B1440" i="5"/>
  <c r="D1499" i="5"/>
  <c r="E1499" i="5"/>
  <c r="M1499" i="5"/>
  <c r="N1499" i="5"/>
  <c r="Q1499" i="5"/>
  <c r="R1499" i="5"/>
  <c r="U1499" i="5"/>
  <c r="B1498" i="5"/>
  <c r="U1498" i="5" s="1"/>
  <c r="D1498" i="5"/>
  <c r="E1498" i="5"/>
  <c r="M1498" i="5"/>
  <c r="N1498" i="5"/>
  <c r="Q1498" i="5"/>
  <c r="R1498" i="5"/>
  <c r="D1497" i="5"/>
  <c r="E1497" i="5"/>
  <c r="M1497" i="5"/>
  <c r="N1497" i="5"/>
  <c r="Q1497" i="5"/>
  <c r="R1497" i="5"/>
  <c r="U1497" i="5"/>
  <c r="B1496" i="5"/>
  <c r="U1496" i="5" s="1"/>
  <c r="D1496" i="5"/>
  <c r="E1496" i="5"/>
  <c r="M1496" i="5"/>
  <c r="N1496" i="5"/>
  <c r="Q1496" i="5"/>
  <c r="R1496" i="5"/>
  <c r="D1495" i="5"/>
  <c r="E1495" i="5"/>
  <c r="M1495" i="5"/>
  <c r="N1495" i="5"/>
  <c r="Q1495" i="5"/>
  <c r="R1495" i="5"/>
  <c r="U1495" i="5"/>
  <c r="D1494" i="5"/>
  <c r="E1494" i="5"/>
  <c r="M1494" i="5"/>
  <c r="N1494" i="5"/>
  <c r="Q1494" i="5"/>
  <c r="R1494" i="5"/>
  <c r="U1494" i="5"/>
  <c r="B1493" i="5"/>
  <c r="B1492" i="5"/>
  <c r="U1492" i="5" s="1"/>
  <c r="D1493" i="5"/>
  <c r="E1493" i="5"/>
  <c r="M1493" i="5"/>
  <c r="N1493" i="5"/>
  <c r="Q1493" i="5"/>
  <c r="R1493" i="5"/>
  <c r="U1493" i="5"/>
  <c r="D1492" i="5"/>
  <c r="E1492" i="5"/>
  <c r="M1492" i="5"/>
  <c r="N1492" i="5"/>
  <c r="Q1492" i="5"/>
  <c r="R1492" i="5"/>
  <c r="D1491" i="5"/>
  <c r="E1491" i="5"/>
  <c r="M1491" i="5"/>
  <c r="N1491" i="5"/>
  <c r="Q1491" i="5"/>
  <c r="R1491" i="5"/>
  <c r="B1491" i="5"/>
  <c r="U1491" i="5" s="1"/>
  <c r="B1490" i="5"/>
  <c r="U1490" i="5" s="1"/>
  <c r="D1490" i="5"/>
  <c r="E1490" i="5"/>
  <c r="M1490" i="5"/>
  <c r="N1490" i="5"/>
  <c r="Q1490" i="5"/>
  <c r="R1490" i="5"/>
  <c r="B42" i="5"/>
  <c r="B1489" i="5"/>
  <c r="U1489" i="5" s="1"/>
  <c r="D1489" i="5"/>
  <c r="E1489" i="5"/>
  <c r="M1489" i="5"/>
  <c r="N1489" i="5"/>
  <c r="Q1489" i="5"/>
  <c r="R1489" i="5"/>
  <c r="B1488" i="5"/>
  <c r="U1488" i="5" s="1"/>
  <c r="D1488" i="5"/>
  <c r="E1488" i="5"/>
  <c r="M1488" i="5"/>
  <c r="N1488" i="5"/>
  <c r="Q1488" i="5"/>
  <c r="R1488" i="5"/>
  <c r="B1487" i="5"/>
  <c r="U1487" i="5" s="1"/>
  <c r="D1487" i="5"/>
  <c r="E1487" i="5"/>
  <c r="M1487" i="5"/>
  <c r="N1487" i="5"/>
  <c r="Q1487" i="5"/>
  <c r="R1487" i="5"/>
  <c r="B1486" i="5"/>
  <c r="U1486" i="5" s="1"/>
  <c r="D1486" i="5"/>
  <c r="E1486" i="5"/>
  <c r="M1486" i="5"/>
  <c r="N1486" i="5"/>
  <c r="Q1486" i="5"/>
  <c r="R1486" i="5"/>
  <c r="B1485" i="5"/>
  <c r="U1485" i="5" s="1"/>
  <c r="B1484" i="5"/>
  <c r="U1484" i="5" s="1"/>
  <c r="B1483" i="5"/>
  <c r="U1483" i="5" s="1"/>
  <c r="B1482" i="5"/>
  <c r="U1482" i="5" s="1"/>
  <c r="D1485" i="5"/>
  <c r="E1485" i="5"/>
  <c r="M1485" i="5"/>
  <c r="N1485" i="5"/>
  <c r="Q1485" i="5"/>
  <c r="R1485" i="5"/>
  <c r="D1482" i="5"/>
  <c r="D1483" i="5"/>
  <c r="D1484" i="5"/>
  <c r="E1482" i="5"/>
  <c r="E1483" i="5"/>
  <c r="E1484" i="5"/>
  <c r="M1482" i="5"/>
  <c r="M1483" i="5"/>
  <c r="M1484" i="5"/>
  <c r="N1482" i="5"/>
  <c r="N1483" i="5"/>
  <c r="N1484" i="5"/>
  <c r="Q1482" i="5"/>
  <c r="Q1483" i="5"/>
  <c r="Q1484" i="5"/>
  <c r="R1482" i="5"/>
  <c r="R1483" i="5"/>
  <c r="R1484" i="5"/>
  <c r="B1481" i="5"/>
  <c r="U1481" i="5" s="1"/>
  <c r="D1481" i="5"/>
  <c r="E1481" i="5"/>
  <c r="M1481" i="5"/>
  <c r="N1481" i="5"/>
  <c r="Q1481" i="5"/>
  <c r="R1481" i="5"/>
  <c r="M1480" i="5"/>
  <c r="B1480" i="5"/>
  <c r="U1480" i="5" s="1"/>
  <c r="B643" i="5"/>
  <c r="D1480" i="5"/>
  <c r="E1480" i="5"/>
  <c r="N1480" i="5"/>
  <c r="Q1480" i="5"/>
  <c r="R1480" i="5"/>
  <c r="B642" i="5"/>
  <c r="B1478" i="5"/>
  <c r="U1478" i="5" s="1"/>
  <c r="B1479" i="5"/>
  <c r="U1479" i="5" s="1"/>
  <c r="D1479" i="5"/>
  <c r="E1479" i="5"/>
  <c r="M1479" i="5"/>
  <c r="N1479" i="5"/>
  <c r="Q1479" i="5"/>
  <c r="R1479" i="5"/>
  <c r="D1478" i="5"/>
  <c r="E1478" i="5"/>
  <c r="M1478" i="5"/>
  <c r="N1478" i="5"/>
  <c r="Q1478" i="5"/>
  <c r="R1478" i="5"/>
  <c r="D1477" i="5"/>
  <c r="E1477" i="5"/>
  <c r="M1477" i="5"/>
  <c r="N1477" i="5"/>
  <c r="Q1477" i="5"/>
  <c r="R1477" i="5"/>
  <c r="U1477" i="5"/>
  <c r="D1476" i="5"/>
  <c r="E1476" i="5"/>
  <c r="M1476" i="5"/>
  <c r="N1476" i="5"/>
  <c r="Q1476" i="5"/>
  <c r="R1476" i="5"/>
  <c r="U1476" i="5"/>
  <c r="D1475" i="5"/>
  <c r="E1475" i="5"/>
  <c r="M1475" i="5"/>
  <c r="N1475" i="5"/>
  <c r="Q1475" i="5"/>
  <c r="R1475" i="5"/>
  <c r="U1475" i="5"/>
  <c r="D1474" i="5"/>
  <c r="E1474" i="5"/>
  <c r="M1474" i="5"/>
  <c r="N1474" i="5"/>
  <c r="Q1474" i="5"/>
  <c r="R1474" i="5"/>
  <c r="U1474" i="5"/>
  <c r="B1473" i="5"/>
  <c r="U1473" i="5" s="1"/>
  <c r="D1473" i="5"/>
  <c r="E1473" i="5"/>
  <c r="M1473" i="5"/>
  <c r="N1473" i="5"/>
  <c r="Q1473" i="5"/>
  <c r="R1473" i="5"/>
  <c r="B1472" i="5"/>
  <c r="U1472" i="5" s="1"/>
  <c r="D1472" i="5"/>
  <c r="E1472" i="5"/>
  <c r="M1472" i="5"/>
  <c r="N1472" i="5"/>
  <c r="Q1472" i="5"/>
  <c r="R1472" i="5"/>
  <c r="B1471" i="5"/>
  <c r="U1471" i="5" s="1"/>
  <c r="D1471" i="5"/>
  <c r="E1471" i="5"/>
  <c r="M1471" i="5"/>
  <c r="N1471" i="5"/>
  <c r="Q1471" i="5"/>
  <c r="R1471" i="5"/>
  <c r="D1465" i="5"/>
  <c r="D1466" i="5"/>
  <c r="D1467" i="5"/>
  <c r="D1468" i="5"/>
  <c r="D1469" i="5"/>
  <c r="D1470" i="5"/>
  <c r="E1465" i="5"/>
  <c r="E1466" i="5"/>
  <c r="E1467" i="5"/>
  <c r="E1468" i="5"/>
  <c r="E1469" i="5"/>
  <c r="E1470" i="5"/>
  <c r="M1465" i="5"/>
  <c r="M1466" i="5"/>
  <c r="M1467" i="5"/>
  <c r="M1468" i="5"/>
  <c r="M1469" i="5"/>
  <c r="M1470" i="5"/>
  <c r="N1465" i="5"/>
  <c r="N1466" i="5"/>
  <c r="N1467" i="5"/>
  <c r="N1468" i="5"/>
  <c r="N1469" i="5"/>
  <c r="N1470" i="5"/>
  <c r="Q1465" i="5"/>
  <c r="Q1466" i="5"/>
  <c r="Q1467" i="5"/>
  <c r="Q1468" i="5"/>
  <c r="Q1469" i="5"/>
  <c r="Q1470" i="5"/>
  <c r="R1465" i="5"/>
  <c r="R1466" i="5"/>
  <c r="R1467" i="5"/>
  <c r="R1468" i="5"/>
  <c r="R1469" i="5"/>
  <c r="R1470" i="5"/>
  <c r="U1465" i="5"/>
  <c r="U1466" i="5"/>
  <c r="U1467" i="5"/>
  <c r="U1468" i="5"/>
  <c r="U1469" i="5"/>
  <c r="U1470" i="5"/>
  <c r="D1460" i="5"/>
  <c r="D1461" i="5"/>
  <c r="D1462" i="5"/>
  <c r="D1463" i="5"/>
  <c r="D1464" i="5"/>
  <c r="E1460" i="5"/>
  <c r="E1461" i="5"/>
  <c r="E1462" i="5"/>
  <c r="E1463" i="5"/>
  <c r="E1464" i="5"/>
  <c r="M1460" i="5"/>
  <c r="M1461" i="5"/>
  <c r="M1462" i="5"/>
  <c r="M1463" i="5"/>
  <c r="M1464" i="5"/>
  <c r="N1460" i="5"/>
  <c r="N1461" i="5"/>
  <c r="N1462" i="5"/>
  <c r="N1463" i="5"/>
  <c r="N1464" i="5"/>
  <c r="Q1460" i="5"/>
  <c r="Q1461" i="5"/>
  <c r="Q1462" i="5"/>
  <c r="Q1463" i="5"/>
  <c r="Q1464" i="5"/>
  <c r="R1460" i="5"/>
  <c r="R1461" i="5"/>
  <c r="R1462" i="5"/>
  <c r="R1463" i="5"/>
  <c r="R1464" i="5"/>
  <c r="U1460" i="5"/>
  <c r="U1461" i="5"/>
  <c r="U1462" i="5"/>
  <c r="U1463" i="5"/>
  <c r="U1464" i="5"/>
  <c r="D1459" i="5"/>
  <c r="E1459" i="5"/>
  <c r="M1459" i="5"/>
  <c r="N1459" i="5"/>
  <c r="Q1459" i="5"/>
  <c r="R1459" i="5"/>
  <c r="U1459" i="5"/>
  <c r="B1458" i="5" l="1"/>
  <c r="U1458" i="5" s="1"/>
  <c r="D1458" i="5"/>
  <c r="E1458" i="5"/>
  <c r="M1458" i="5"/>
  <c r="N1458" i="5"/>
  <c r="Q1458" i="5"/>
  <c r="R1458" i="5"/>
  <c r="B1457" i="5"/>
  <c r="U1457" i="5" s="1"/>
  <c r="D1457" i="5"/>
  <c r="E1457" i="5"/>
  <c r="M1457" i="5"/>
  <c r="N1457" i="5"/>
  <c r="Q1457" i="5"/>
  <c r="R1457" i="5"/>
  <c r="B1456" i="5"/>
  <c r="U1456" i="5" s="1"/>
  <c r="D1456" i="5"/>
  <c r="E1456" i="5"/>
  <c r="M1456" i="5"/>
  <c r="N1456" i="5"/>
  <c r="Q1456" i="5"/>
  <c r="R1456" i="5"/>
  <c r="B1455" i="5"/>
  <c r="U1455" i="5" s="1"/>
  <c r="D1455" i="5"/>
  <c r="E1455" i="5"/>
  <c r="M1455" i="5"/>
  <c r="N1455" i="5"/>
  <c r="Q1455" i="5"/>
  <c r="R1455" i="5"/>
  <c r="B1454" i="5"/>
  <c r="U1454" i="5" s="1"/>
  <c r="D1454" i="5"/>
  <c r="E1454" i="5"/>
  <c r="M1454" i="5"/>
  <c r="N1454" i="5"/>
  <c r="Q1454" i="5"/>
  <c r="R1454" i="5"/>
  <c r="B1453" i="5"/>
  <c r="U1453" i="5" s="1"/>
  <c r="D1453" i="5"/>
  <c r="E1453" i="5"/>
  <c r="M1453" i="5"/>
  <c r="N1453" i="5"/>
  <c r="Q1453" i="5"/>
  <c r="R1453" i="5"/>
  <c r="B1452" i="5"/>
  <c r="U1452" i="5" s="1"/>
  <c r="D1452" i="5"/>
  <c r="E1452" i="5"/>
  <c r="M1452" i="5"/>
  <c r="N1452" i="5"/>
  <c r="Q1452" i="5"/>
  <c r="R1452" i="5"/>
  <c r="B1445" i="5" l="1"/>
  <c r="U1445" i="5" s="1"/>
  <c r="B1444" i="5"/>
  <c r="B1451" i="5"/>
  <c r="U1451" i="5" s="1"/>
  <c r="B1450" i="5"/>
  <c r="U1450" i="5" s="1"/>
  <c r="B1449" i="5"/>
  <c r="U1449" i="5" s="1"/>
  <c r="B1448" i="5"/>
  <c r="U1448" i="5" s="1"/>
  <c r="D1450" i="5"/>
  <c r="D1451" i="5"/>
  <c r="E1450" i="5"/>
  <c r="E1451" i="5"/>
  <c r="M1450" i="5"/>
  <c r="M1451" i="5"/>
  <c r="N1450" i="5"/>
  <c r="N1451" i="5"/>
  <c r="Q1450" i="5"/>
  <c r="Q1451" i="5"/>
  <c r="R1450" i="5"/>
  <c r="R1451" i="5"/>
  <c r="D1448" i="5"/>
  <c r="D1449" i="5"/>
  <c r="E1448" i="5"/>
  <c r="E1449" i="5"/>
  <c r="M1448" i="5"/>
  <c r="M1449" i="5"/>
  <c r="N1448" i="5"/>
  <c r="N1449" i="5"/>
  <c r="Q1448" i="5"/>
  <c r="Q1449" i="5"/>
  <c r="R1448" i="5"/>
  <c r="R1449" i="5"/>
  <c r="B1447" i="5"/>
  <c r="U1447" i="5" s="1"/>
  <c r="B1446" i="5"/>
  <c r="U1446" i="5" s="1"/>
  <c r="D1446" i="5"/>
  <c r="D1447" i="5"/>
  <c r="E1446" i="5"/>
  <c r="E1447" i="5"/>
  <c r="M1446" i="5"/>
  <c r="M1447" i="5"/>
  <c r="N1446" i="5"/>
  <c r="N1447" i="5"/>
  <c r="Q1446" i="5"/>
  <c r="Q1447" i="5"/>
  <c r="R1446" i="5"/>
  <c r="R1447" i="5"/>
  <c r="D1444" i="5"/>
  <c r="D1445" i="5"/>
  <c r="E1444" i="5"/>
  <c r="E1445" i="5"/>
  <c r="M1444" i="5"/>
  <c r="M1445" i="5"/>
  <c r="N1444" i="5"/>
  <c r="N1445" i="5"/>
  <c r="Q1444" i="5"/>
  <c r="Q1445" i="5"/>
  <c r="R1444" i="5"/>
  <c r="R1445" i="5"/>
  <c r="U1444" i="5"/>
  <c r="B1442" i="5"/>
  <c r="U1442" i="5" s="1"/>
  <c r="D1442" i="5"/>
  <c r="D1443" i="5"/>
  <c r="E1442" i="5"/>
  <c r="E1443" i="5"/>
  <c r="M1442" i="5"/>
  <c r="M1443" i="5"/>
  <c r="N1442" i="5"/>
  <c r="N1443" i="5"/>
  <c r="Q1442" i="5"/>
  <c r="Q1443" i="5"/>
  <c r="R1442" i="5"/>
  <c r="R1443" i="5"/>
  <c r="U1441" i="5"/>
  <c r="U1440" i="5"/>
  <c r="D1440" i="5"/>
  <c r="D1441" i="5"/>
  <c r="E1440" i="5"/>
  <c r="E1441" i="5"/>
  <c r="M1440" i="5"/>
  <c r="M1441" i="5"/>
  <c r="N1440" i="5"/>
  <c r="N1441" i="5"/>
  <c r="Q1440" i="5"/>
  <c r="Q1441" i="5"/>
  <c r="R1440" i="5"/>
  <c r="R1441" i="5"/>
  <c r="B1439" i="5"/>
  <c r="U1439" i="5" s="1"/>
  <c r="B1438" i="5"/>
  <c r="U1438" i="5" s="1"/>
  <c r="D1438" i="5"/>
  <c r="D1439" i="5"/>
  <c r="E1438" i="5"/>
  <c r="E1439" i="5"/>
  <c r="M1438" i="5"/>
  <c r="M1439" i="5"/>
  <c r="N1438" i="5"/>
  <c r="N1439" i="5"/>
  <c r="Q1438" i="5"/>
  <c r="Q1439" i="5"/>
  <c r="R1438" i="5"/>
  <c r="R1439" i="5"/>
  <c r="B1437" i="5"/>
  <c r="U1437" i="5" s="1"/>
  <c r="D1437" i="5"/>
  <c r="E1437" i="5"/>
  <c r="M1437" i="5"/>
  <c r="N1437" i="5"/>
  <c r="Q1437" i="5"/>
  <c r="R1437" i="5"/>
  <c r="B1436" i="5"/>
  <c r="U1436" i="5" s="1"/>
  <c r="D1436" i="5"/>
  <c r="E1436" i="5"/>
  <c r="M1436" i="5"/>
  <c r="N1436" i="5"/>
  <c r="Q1436" i="5"/>
  <c r="R1436" i="5"/>
  <c r="D1435" i="5"/>
  <c r="E1435" i="5"/>
  <c r="M1435" i="5"/>
  <c r="N1435" i="5"/>
  <c r="Q1435" i="5"/>
  <c r="R1435" i="5"/>
  <c r="U1435" i="5"/>
  <c r="D1434" i="5"/>
  <c r="E1434" i="5"/>
  <c r="M1434" i="5"/>
  <c r="N1434" i="5"/>
  <c r="Q1434" i="5"/>
  <c r="R1434" i="5"/>
  <c r="U1434" i="5"/>
  <c r="D1433" i="5"/>
  <c r="E1433" i="5"/>
  <c r="M1433" i="5"/>
  <c r="N1433" i="5"/>
  <c r="Q1433" i="5"/>
  <c r="R1433" i="5"/>
  <c r="U1433" i="5"/>
  <c r="D1432" i="5"/>
  <c r="E1432" i="5"/>
  <c r="M1432" i="5"/>
  <c r="N1432" i="5"/>
  <c r="Q1432" i="5"/>
  <c r="R1432" i="5"/>
  <c r="U1432" i="5"/>
  <c r="D1431" i="5"/>
  <c r="E1431" i="5"/>
  <c r="M1431" i="5"/>
  <c r="N1431" i="5"/>
  <c r="Q1431" i="5"/>
  <c r="R1431" i="5"/>
  <c r="U1431" i="5"/>
  <c r="D1430" i="5"/>
  <c r="E1430" i="5"/>
  <c r="M1430" i="5"/>
  <c r="N1430" i="5"/>
  <c r="Q1430" i="5"/>
  <c r="R1430" i="5"/>
  <c r="U1430" i="5"/>
  <c r="D1429" i="5"/>
  <c r="E1429" i="5"/>
  <c r="M1429" i="5"/>
  <c r="N1429" i="5"/>
  <c r="Q1429" i="5"/>
  <c r="R1429" i="5"/>
  <c r="U1429" i="5"/>
  <c r="D1428" i="5"/>
  <c r="E1428" i="5"/>
  <c r="M1428" i="5"/>
  <c r="N1428" i="5"/>
  <c r="Q1428" i="5"/>
  <c r="R1428" i="5"/>
  <c r="U1428" i="5"/>
  <c r="D1427" i="5"/>
  <c r="E1427" i="5"/>
  <c r="M1427" i="5"/>
  <c r="N1427" i="5"/>
  <c r="Q1427" i="5"/>
  <c r="R1427" i="5"/>
  <c r="U1427" i="5"/>
  <c r="M1426" i="5"/>
  <c r="D1426" i="5"/>
  <c r="E1426" i="5"/>
  <c r="N1426" i="5"/>
  <c r="Q1426" i="5"/>
  <c r="R1426" i="5"/>
  <c r="U1426" i="5"/>
  <c r="D1425" i="5"/>
  <c r="E1425" i="5"/>
  <c r="M1425" i="5"/>
  <c r="N1425" i="5"/>
  <c r="Q1425" i="5"/>
  <c r="R1425" i="5"/>
  <c r="U1425" i="5"/>
  <c r="D1424" i="5"/>
  <c r="E1424" i="5"/>
  <c r="M1424" i="5"/>
  <c r="N1424" i="5"/>
  <c r="Q1424" i="5"/>
  <c r="R1424" i="5"/>
  <c r="U1424" i="5"/>
  <c r="D1423" i="5"/>
  <c r="E1423" i="5"/>
  <c r="M1423" i="5"/>
  <c r="N1423" i="5"/>
  <c r="Q1423" i="5"/>
  <c r="R1423" i="5"/>
  <c r="U1423" i="5"/>
  <c r="D1422" i="5"/>
  <c r="E1422" i="5"/>
  <c r="M1422" i="5"/>
  <c r="N1422" i="5"/>
  <c r="Q1422" i="5"/>
  <c r="R1422" i="5"/>
  <c r="U1422" i="5"/>
  <c r="B1443" i="5" l="1"/>
  <c r="D1421" i="5"/>
  <c r="E1421" i="5"/>
  <c r="M1421" i="5"/>
  <c r="N1421" i="5"/>
  <c r="Q1421" i="5"/>
  <c r="R1421" i="5"/>
  <c r="U1421" i="5"/>
  <c r="D1420" i="5"/>
  <c r="E1420" i="5"/>
  <c r="M1420" i="5"/>
  <c r="N1420" i="5"/>
  <c r="Q1420" i="5"/>
  <c r="R1420" i="5"/>
  <c r="U1420" i="5"/>
  <c r="D1419" i="5"/>
  <c r="E1419" i="5"/>
  <c r="M1419" i="5"/>
  <c r="N1419" i="5"/>
  <c r="Q1419" i="5"/>
  <c r="R1419" i="5"/>
  <c r="U1419" i="5"/>
  <c r="D1418" i="5"/>
  <c r="E1418" i="5"/>
  <c r="M1418" i="5"/>
  <c r="N1418" i="5"/>
  <c r="Q1418" i="5"/>
  <c r="R1418" i="5"/>
  <c r="U1418" i="5"/>
  <c r="D1417" i="5"/>
  <c r="E1417" i="5"/>
  <c r="M1417" i="5"/>
  <c r="N1417" i="5"/>
  <c r="Q1417" i="5"/>
  <c r="R1417" i="5"/>
  <c r="U1417" i="5"/>
  <c r="D1416" i="5"/>
  <c r="E1416" i="5"/>
  <c r="M1416" i="5"/>
  <c r="N1416" i="5"/>
  <c r="Q1416" i="5"/>
  <c r="R1416" i="5"/>
  <c r="U1416" i="5"/>
  <c r="E2"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417" i="5"/>
  <c r="E33" i="5"/>
  <c r="E34" i="5"/>
  <c r="E35" i="5"/>
  <c r="E36" i="5"/>
  <c r="E37" i="5"/>
  <c r="E38" i="5"/>
  <c r="E39" i="5"/>
  <c r="E40" i="5"/>
  <c r="E419"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575" i="5"/>
  <c r="E576" i="5"/>
  <c r="E142" i="5"/>
  <c r="E607" i="5"/>
  <c r="E136" i="5"/>
  <c r="E595" i="5"/>
  <c r="E578" i="5"/>
  <c r="E628" i="5"/>
  <c r="E608" i="5"/>
  <c r="E137" i="5"/>
  <c r="E629" i="5"/>
  <c r="E630"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634" i="5"/>
  <c r="E215" i="5"/>
  <c r="E216" i="5"/>
  <c r="E217" i="5"/>
  <c r="E218" i="5"/>
  <c r="E219" i="5"/>
  <c r="E220" i="5"/>
  <c r="E221" i="5"/>
  <c r="E304"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542"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1384" i="5"/>
  <c r="E363" i="5"/>
  <c r="E364" i="5"/>
  <c r="E365" i="5"/>
  <c r="E1387"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32" i="5"/>
  <c r="E418" i="5"/>
  <c r="E41"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1388" i="5"/>
  <c r="E1389"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133" i="5"/>
  <c r="E134" i="5"/>
  <c r="E135" i="5"/>
  <c r="E619" i="5"/>
  <c r="E614" i="5"/>
  <c r="E596" i="5"/>
  <c r="E579" i="5"/>
  <c r="E609" i="5"/>
  <c r="E580" i="5"/>
  <c r="E581" i="5"/>
  <c r="E582" i="5"/>
  <c r="E611" i="5"/>
  <c r="E583" i="5"/>
  <c r="E584" i="5"/>
  <c r="E618" i="5"/>
  <c r="E132" i="5"/>
  <c r="E598" i="5"/>
  <c r="E585" i="5"/>
  <c r="E599" i="5"/>
  <c r="E615" i="5"/>
  <c r="E586" i="5"/>
  <c r="E587" i="5"/>
  <c r="E588" i="5"/>
  <c r="E589" i="5"/>
  <c r="E590" i="5"/>
  <c r="E616" i="5"/>
  <c r="E617" i="5"/>
  <c r="E591" i="5"/>
  <c r="E626" i="5"/>
  <c r="E613" i="5"/>
  <c r="E605" i="5"/>
  <c r="E600" i="5"/>
  <c r="E612" i="5"/>
  <c r="E592" i="5"/>
  <c r="E606" i="5"/>
  <c r="E594" i="5"/>
  <c r="E620" i="5"/>
  <c r="E601" i="5"/>
  <c r="E602" i="5"/>
  <c r="E603" i="5"/>
  <c r="E577" i="5"/>
  <c r="E143" i="5"/>
  <c r="E572" i="5"/>
  <c r="E573" i="5"/>
  <c r="E574" i="5"/>
  <c r="E623" i="5"/>
  <c r="E624" i="5"/>
  <c r="E631" i="5"/>
  <c r="E627" i="5"/>
  <c r="E593" i="5"/>
  <c r="E604" i="5"/>
  <c r="E621" i="5"/>
  <c r="E622" i="5"/>
  <c r="E632" i="5"/>
  <c r="E633" i="5"/>
  <c r="E625" i="5"/>
  <c r="E138" i="5"/>
  <c r="E139" i="5"/>
  <c r="E597" i="5"/>
  <c r="E140" i="5"/>
  <c r="E141" i="5"/>
  <c r="E1293" i="5"/>
  <c r="E362" i="5"/>
  <c r="E649" i="5"/>
  <c r="E656" i="5"/>
  <c r="E1294" i="5"/>
  <c r="E1295" i="5"/>
  <c r="E1296" i="5"/>
  <c r="E1297" i="5"/>
  <c r="E1298" i="5"/>
  <c r="E214" i="5"/>
  <c r="E636" i="5"/>
  <c r="E637" i="5"/>
  <c r="E638" i="5"/>
  <c r="E648" i="5"/>
  <c r="E639" i="5"/>
  <c r="E640" i="5"/>
  <c r="E366" i="5"/>
  <c r="E642" i="5"/>
  <c r="E643" i="5"/>
  <c r="E644" i="5"/>
  <c r="E645" i="5"/>
  <c r="E646" i="5"/>
  <c r="E647" i="5"/>
  <c r="E657" i="5"/>
  <c r="E658" i="5"/>
  <c r="E659" i="5"/>
  <c r="E660" i="5"/>
  <c r="E1289" i="5"/>
  <c r="E661" i="5"/>
  <c r="E1290" i="5"/>
  <c r="E1291" i="5"/>
  <c r="E1292"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222"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834" i="5"/>
  <c r="E835" i="5"/>
  <c r="E836" i="5"/>
  <c r="E837" i="5"/>
  <c r="E838" i="5"/>
  <c r="E839" i="5"/>
  <c r="E840" i="5"/>
  <c r="E841" i="5"/>
  <c r="E842" i="5"/>
  <c r="E843" i="5"/>
  <c r="E845" i="5"/>
  <c r="E846" i="5"/>
  <c r="E847" i="5"/>
  <c r="E848" i="5"/>
  <c r="E849" i="5"/>
  <c r="E850" i="5"/>
  <c r="E851" i="5"/>
  <c r="E852" i="5"/>
  <c r="E853" i="5"/>
  <c r="E854" i="5"/>
  <c r="E855" i="5"/>
  <c r="E856" i="5"/>
  <c r="E857" i="5"/>
  <c r="E858" i="5"/>
  <c r="E859" i="5"/>
  <c r="E860" i="5"/>
  <c r="E861" i="5"/>
  <c r="E862" i="5"/>
  <c r="E863" i="5"/>
  <c r="E864" i="5"/>
  <c r="E865" i="5"/>
  <c r="E866" i="5"/>
  <c r="E867" i="5"/>
  <c r="E868" i="5"/>
  <c r="E869" i="5"/>
  <c r="E870" i="5"/>
  <c r="E871" i="5"/>
  <c r="E872" i="5"/>
  <c r="E873" i="5"/>
  <c r="E874" i="5"/>
  <c r="E875" i="5"/>
  <c r="E876" i="5"/>
  <c r="E877" i="5"/>
  <c r="E878" i="5"/>
  <c r="E879" i="5"/>
  <c r="E880" i="5"/>
  <c r="E881" i="5"/>
  <c r="E882" i="5"/>
  <c r="E883" i="5"/>
  <c r="E884" i="5"/>
  <c r="E885" i="5"/>
  <c r="E886" i="5"/>
  <c r="E887" i="5"/>
  <c r="E888" i="5"/>
  <c r="E889" i="5"/>
  <c r="E890" i="5"/>
  <c r="E891" i="5"/>
  <c r="E892" i="5"/>
  <c r="E893" i="5"/>
  <c r="E894" i="5"/>
  <c r="E895" i="5"/>
  <c r="E896" i="5"/>
  <c r="E897" i="5"/>
  <c r="E898" i="5"/>
  <c r="E899" i="5"/>
  <c r="E900" i="5"/>
  <c r="E901" i="5"/>
  <c r="E902" i="5"/>
  <c r="E903" i="5"/>
  <c r="E904" i="5"/>
  <c r="E905" i="5"/>
  <c r="E906" i="5"/>
  <c r="E907" i="5"/>
  <c r="E908" i="5"/>
  <c r="E909" i="5"/>
  <c r="E910" i="5"/>
  <c r="E911" i="5"/>
  <c r="E912" i="5"/>
  <c r="E913" i="5"/>
  <c r="E914" i="5"/>
  <c r="E915" i="5"/>
  <c r="E916" i="5"/>
  <c r="E917" i="5"/>
  <c r="E918" i="5"/>
  <c r="E919" i="5"/>
  <c r="E920" i="5"/>
  <c r="E921" i="5"/>
  <c r="E922" i="5"/>
  <c r="E923" i="5"/>
  <c r="E924" i="5"/>
  <c r="E925" i="5"/>
  <c r="E926" i="5"/>
  <c r="E927" i="5"/>
  <c r="E928" i="5"/>
  <c r="E929" i="5"/>
  <c r="E930" i="5"/>
  <c r="E931" i="5"/>
  <c r="E932" i="5"/>
  <c r="E933" i="5"/>
  <c r="E934" i="5"/>
  <c r="E935" i="5"/>
  <c r="E936" i="5"/>
  <c r="E937" i="5"/>
  <c r="E938" i="5"/>
  <c r="E939" i="5"/>
  <c r="E940" i="5"/>
  <c r="E941" i="5"/>
  <c r="E942" i="5"/>
  <c r="E943" i="5"/>
  <c r="E944" i="5"/>
  <c r="E945" i="5"/>
  <c r="E946" i="5"/>
  <c r="E947" i="5"/>
  <c r="E948" i="5"/>
  <c r="E949" i="5"/>
  <c r="E950" i="5"/>
  <c r="E951" i="5"/>
  <c r="E952" i="5"/>
  <c r="E953" i="5"/>
  <c r="E954" i="5"/>
  <c r="E955" i="5"/>
  <c r="E956" i="5"/>
  <c r="E957" i="5"/>
  <c r="E958" i="5"/>
  <c r="E959" i="5"/>
  <c r="E960" i="5"/>
  <c r="E961" i="5"/>
  <c r="E962" i="5"/>
  <c r="E963" i="5"/>
  <c r="E964" i="5"/>
  <c r="E965" i="5"/>
  <c r="E966" i="5"/>
  <c r="E967" i="5"/>
  <c r="E968" i="5"/>
  <c r="E969" i="5"/>
  <c r="E970" i="5"/>
  <c r="E971" i="5"/>
  <c r="E972" i="5"/>
  <c r="E973" i="5"/>
  <c r="E974" i="5"/>
  <c r="E975" i="5"/>
  <c r="E976" i="5"/>
  <c r="E977" i="5"/>
  <c r="E978" i="5"/>
  <c r="E979" i="5"/>
  <c r="E980" i="5"/>
  <c r="E981" i="5"/>
  <c r="E982" i="5"/>
  <c r="E983" i="5"/>
  <c r="E984" i="5"/>
  <c r="E985" i="5"/>
  <c r="E986" i="5"/>
  <c r="E987" i="5"/>
  <c r="E988" i="5"/>
  <c r="E989" i="5"/>
  <c r="E990" i="5"/>
  <c r="E991" i="5"/>
  <c r="E992" i="5"/>
  <c r="E993" i="5"/>
  <c r="E994" i="5"/>
  <c r="E995" i="5"/>
  <c r="E996" i="5"/>
  <c r="E997" i="5"/>
  <c r="E998" i="5"/>
  <c r="E999" i="5"/>
  <c r="E1000" i="5"/>
  <c r="E1001" i="5"/>
  <c r="E1002" i="5"/>
  <c r="E1003" i="5"/>
  <c r="E1004" i="5"/>
  <c r="E1005" i="5"/>
  <c r="E1006" i="5"/>
  <c r="E1007" i="5"/>
  <c r="E1008" i="5"/>
  <c r="E1009" i="5"/>
  <c r="E1010" i="5"/>
  <c r="E1011" i="5"/>
  <c r="E1012" i="5"/>
  <c r="E1013" i="5"/>
  <c r="E1014" i="5"/>
  <c r="E1015" i="5"/>
  <c r="E1016" i="5"/>
  <c r="E1017" i="5"/>
  <c r="E1018" i="5"/>
  <c r="E1019" i="5"/>
  <c r="E1020" i="5"/>
  <c r="E1021" i="5"/>
  <c r="E1022" i="5"/>
  <c r="E1023" i="5"/>
  <c r="E1024" i="5"/>
  <c r="E1025" i="5"/>
  <c r="E1026" i="5"/>
  <c r="E1027" i="5"/>
  <c r="E1028" i="5"/>
  <c r="E1029" i="5"/>
  <c r="E1030" i="5"/>
  <c r="E1031" i="5"/>
  <c r="E1032" i="5"/>
  <c r="E1033" i="5"/>
  <c r="E1034" i="5"/>
  <c r="E1035" i="5"/>
  <c r="E1036" i="5"/>
  <c r="E1037" i="5"/>
  <c r="E1038" i="5"/>
  <c r="E1039" i="5"/>
  <c r="E1040" i="5"/>
  <c r="E1041" i="5"/>
  <c r="E1042" i="5"/>
  <c r="E1043" i="5"/>
  <c r="E1044" i="5"/>
  <c r="E1045" i="5"/>
  <c r="E1046" i="5"/>
  <c r="E1047" i="5"/>
  <c r="E1048" i="5"/>
  <c r="E1049" i="5"/>
  <c r="E1050" i="5"/>
  <c r="E1051" i="5"/>
  <c r="E1052" i="5"/>
  <c r="E1053" i="5"/>
  <c r="E1054" i="5"/>
  <c r="E1055" i="5"/>
  <c r="E1056" i="5"/>
  <c r="E1057" i="5"/>
  <c r="E1058" i="5"/>
  <c r="E1059" i="5"/>
  <c r="E1060" i="5"/>
  <c r="E1061" i="5"/>
  <c r="E1062" i="5"/>
  <c r="E1063" i="5"/>
  <c r="E1064" i="5"/>
  <c r="E1065" i="5"/>
  <c r="E1066" i="5"/>
  <c r="E1067" i="5"/>
  <c r="E1068" i="5"/>
  <c r="E1069" i="5"/>
  <c r="E1070" i="5"/>
  <c r="E1071" i="5"/>
  <c r="E1072" i="5"/>
  <c r="E1073" i="5"/>
  <c r="E1074" i="5"/>
  <c r="E1075" i="5"/>
  <c r="E1076" i="5"/>
  <c r="E1077" i="5"/>
  <c r="E1078" i="5"/>
  <c r="E1079" i="5"/>
  <c r="E1080" i="5"/>
  <c r="E1081" i="5"/>
  <c r="E1082" i="5"/>
  <c r="E1083" i="5"/>
  <c r="E1084" i="5"/>
  <c r="E1085" i="5"/>
  <c r="E1086" i="5"/>
  <c r="E1087" i="5"/>
  <c r="E1088" i="5"/>
  <c r="E1089" i="5"/>
  <c r="E1090" i="5"/>
  <c r="E1091" i="5"/>
  <c r="E1092" i="5"/>
  <c r="E1093" i="5"/>
  <c r="E1094" i="5"/>
  <c r="E1095" i="5"/>
  <c r="E1096" i="5"/>
  <c r="E1097" i="5"/>
  <c r="E1098" i="5"/>
  <c r="E1099" i="5"/>
  <c r="E1100" i="5"/>
  <c r="E1101" i="5"/>
  <c r="E1102" i="5"/>
  <c r="E1103" i="5"/>
  <c r="E1104" i="5"/>
  <c r="E1105" i="5"/>
  <c r="E1106" i="5"/>
  <c r="E1107" i="5"/>
  <c r="E1108" i="5"/>
  <c r="E1109" i="5"/>
  <c r="E1110" i="5"/>
  <c r="E1111" i="5"/>
  <c r="E1112" i="5"/>
  <c r="E1113" i="5"/>
  <c r="E1114" i="5"/>
  <c r="E1115" i="5"/>
  <c r="E1116" i="5"/>
  <c r="E1117" i="5"/>
  <c r="E1118" i="5"/>
  <c r="E1119" i="5"/>
  <c r="E1120" i="5"/>
  <c r="E1121" i="5"/>
  <c r="E1122" i="5"/>
  <c r="E1123" i="5"/>
  <c r="E1124" i="5"/>
  <c r="E1125" i="5"/>
  <c r="E1126" i="5"/>
  <c r="E1127" i="5"/>
  <c r="E1128" i="5"/>
  <c r="E1129" i="5"/>
  <c r="E1130" i="5"/>
  <c r="E1131" i="5"/>
  <c r="E1132" i="5"/>
  <c r="E1133" i="5"/>
  <c r="E1134" i="5"/>
  <c r="E1135" i="5"/>
  <c r="E1136" i="5"/>
  <c r="E1137" i="5"/>
  <c r="E1138" i="5"/>
  <c r="E1139" i="5"/>
  <c r="E1140" i="5"/>
  <c r="E1141" i="5"/>
  <c r="E1142" i="5"/>
  <c r="E1143" i="5"/>
  <c r="E1144" i="5"/>
  <c r="E1145" i="5"/>
  <c r="E1146" i="5"/>
  <c r="E1147" i="5"/>
  <c r="E1148" i="5"/>
  <c r="E1149" i="5"/>
  <c r="E1150" i="5"/>
  <c r="E1151" i="5"/>
  <c r="E1152" i="5"/>
  <c r="E1153" i="5"/>
  <c r="E1154" i="5"/>
  <c r="E1155" i="5"/>
  <c r="E1156" i="5"/>
  <c r="E1157" i="5"/>
  <c r="E1158" i="5"/>
  <c r="E1159" i="5"/>
  <c r="E1160" i="5"/>
  <c r="E1161" i="5"/>
  <c r="E1162" i="5"/>
  <c r="E1163" i="5"/>
  <c r="E1164" i="5"/>
  <c r="E1165" i="5"/>
  <c r="E1166" i="5"/>
  <c r="E1167" i="5"/>
  <c r="E1168" i="5"/>
  <c r="E1169" i="5"/>
  <c r="E1170" i="5"/>
  <c r="E1171" i="5"/>
  <c r="E1172" i="5"/>
  <c r="E1173" i="5"/>
  <c r="E1174" i="5"/>
  <c r="E1175" i="5"/>
  <c r="E1176" i="5"/>
  <c r="E1177" i="5"/>
  <c r="E1178" i="5"/>
  <c r="E1179" i="5"/>
  <c r="E1180" i="5"/>
  <c r="E1181" i="5"/>
  <c r="E1182" i="5"/>
  <c r="E1183" i="5"/>
  <c r="E1184" i="5"/>
  <c r="E1185" i="5"/>
  <c r="E1186" i="5"/>
  <c r="E1187" i="5"/>
  <c r="E1188" i="5"/>
  <c r="E1189" i="5"/>
  <c r="E1190" i="5"/>
  <c r="E1191" i="5"/>
  <c r="E1192" i="5"/>
  <c r="E1193" i="5"/>
  <c r="E1194" i="5"/>
  <c r="E1195" i="5"/>
  <c r="E1196" i="5"/>
  <c r="E1390" i="5"/>
  <c r="E1198" i="5"/>
  <c r="E1199" i="5"/>
  <c r="E1200" i="5"/>
  <c r="E1201" i="5"/>
  <c r="E1202" i="5"/>
  <c r="E1203" i="5"/>
  <c r="E1204" i="5"/>
  <c r="E1205" i="5"/>
  <c r="E1206" i="5"/>
  <c r="E1207" i="5"/>
  <c r="E1208" i="5"/>
  <c r="E1209" i="5"/>
  <c r="E1210" i="5"/>
  <c r="E1211" i="5"/>
  <c r="E1212" i="5"/>
  <c r="E1213" i="5"/>
  <c r="E1214" i="5"/>
  <c r="E1215" i="5"/>
  <c r="E1216" i="5"/>
  <c r="E1217" i="5"/>
  <c r="E1218" i="5"/>
  <c r="E1219" i="5"/>
  <c r="E1220" i="5"/>
  <c r="E1221" i="5"/>
  <c r="E1222" i="5"/>
  <c r="E1223" i="5"/>
  <c r="E1224" i="5"/>
  <c r="E1225" i="5"/>
  <c r="E1226" i="5"/>
  <c r="E1227" i="5"/>
  <c r="E1228" i="5"/>
  <c r="E1229" i="5"/>
  <c r="E1230" i="5"/>
  <c r="E1231" i="5"/>
  <c r="E1232" i="5"/>
  <c r="E1233" i="5"/>
  <c r="E1234" i="5"/>
  <c r="E1235" i="5"/>
  <c r="E1236" i="5"/>
  <c r="E1237" i="5"/>
  <c r="E1238" i="5"/>
  <c r="E1239" i="5"/>
  <c r="E1240" i="5"/>
  <c r="E1241" i="5"/>
  <c r="E1242" i="5"/>
  <c r="E1243" i="5"/>
  <c r="E1244" i="5"/>
  <c r="E1245" i="5"/>
  <c r="E1246" i="5"/>
  <c r="E1247" i="5"/>
  <c r="E1248" i="5"/>
  <c r="E1249" i="5"/>
  <c r="E1250" i="5"/>
  <c r="E1251" i="5"/>
  <c r="E1252" i="5"/>
  <c r="E1253" i="5"/>
  <c r="E1254" i="5"/>
  <c r="E1255" i="5"/>
  <c r="E1256" i="5"/>
  <c r="E1257" i="5"/>
  <c r="E1258" i="5"/>
  <c r="E1259" i="5"/>
  <c r="E1260" i="5"/>
  <c r="E1261" i="5"/>
  <c r="E1262" i="5"/>
  <c r="E1299" i="5"/>
  <c r="E1300" i="5"/>
  <c r="E1284" i="5"/>
  <c r="E1285" i="5"/>
  <c r="E1286" i="5"/>
  <c r="E1287" i="5"/>
  <c r="E1288" i="5"/>
  <c r="E1274" i="5"/>
  <c r="E1275" i="5"/>
  <c r="E1276" i="5"/>
  <c r="E1277" i="5"/>
  <c r="E1278" i="5"/>
  <c r="E1279" i="5"/>
  <c r="E1280" i="5"/>
  <c r="E1282" i="5"/>
  <c r="E1283" i="5"/>
  <c r="E1271" i="5"/>
  <c r="E1272" i="5"/>
  <c r="E1273" i="5"/>
  <c r="E1269" i="5"/>
  <c r="E1270" i="5"/>
  <c r="E1267" i="5"/>
  <c r="E1268" i="5"/>
  <c r="E1264" i="5"/>
  <c r="E1265" i="5"/>
  <c r="E1266" i="5"/>
  <c r="E662" i="5"/>
  <c r="E663" i="5"/>
  <c r="E664" i="5"/>
  <c r="E665" i="5"/>
  <c r="E1263" i="5"/>
  <c r="E655" i="5"/>
  <c r="E650" i="5"/>
  <c r="E651" i="5"/>
  <c r="E652" i="5"/>
  <c r="E653" i="5"/>
  <c r="E654" i="5"/>
  <c r="E1301" i="5"/>
  <c r="E1302" i="5"/>
  <c r="E1303" i="5"/>
  <c r="E1304" i="5"/>
  <c r="E1305" i="5"/>
  <c r="E1306" i="5"/>
  <c r="E1307" i="5"/>
  <c r="E1308" i="5"/>
  <c r="E1309" i="5"/>
  <c r="E1310" i="5"/>
  <c r="E1311" i="5"/>
  <c r="E1312" i="5"/>
  <c r="E1313" i="5"/>
  <c r="E1314" i="5"/>
  <c r="E1315" i="5"/>
  <c r="E1316" i="5"/>
  <c r="E1317" i="5"/>
  <c r="E1318" i="5"/>
  <c r="E1319" i="5"/>
  <c r="E1320" i="5"/>
  <c r="E1321" i="5"/>
  <c r="E1322" i="5"/>
  <c r="E1323" i="5"/>
  <c r="E1324" i="5"/>
  <c r="E1325" i="5"/>
  <c r="E1326" i="5"/>
  <c r="E1327" i="5"/>
  <c r="E1328" i="5"/>
  <c r="E1329" i="5"/>
  <c r="E1330" i="5"/>
  <c r="E1331" i="5"/>
  <c r="E1332" i="5"/>
  <c r="E1333" i="5"/>
  <c r="E1334" i="5"/>
  <c r="E1335" i="5"/>
  <c r="E1336" i="5"/>
  <c r="E1337" i="5"/>
  <c r="E1338" i="5"/>
  <c r="E1339" i="5"/>
  <c r="E1340" i="5"/>
  <c r="E1341" i="5"/>
  <c r="E1342" i="5"/>
  <c r="E1343" i="5"/>
  <c r="E1344" i="5"/>
  <c r="E1345" i="5"/>
  <c r="E1346" i="5"/>
  <c r="E1347" i="5"/>
  <c r="E1348" i="5"/>
  <c r="E1349" i="5"/>
  <c r="E1350" i="5"/>
  <c r="E1351" i="5"/>
  <c r="E1352" i="5"/>
  <c r="E1353" i="5"/>
  <c r="E1354" i="5"/>
  <c r="E1355" i="5"/>
  <c r="E1356" i="5"/>
  <c r="E1357" i="5"/>
  <c r="E1358" i="5"/>
  <c r="E1359" i="5"/>
  <c r="E1360" i="5"/>
  <c r="E1361" i="5"/>
  <c r="E1362" i="5"/>
  <c r="E1363" i="5"/>
  <c r="E1364" i="5"/>
  <c r="E1365" i="5"/>
  <c r="E1366" i="5"/>
  <c r="E1367" i="5"/>
  <c r="E1368" i="5"/>
  <c r="E1369" i="5"/>
  <c r="E543" i="5"/>
  <c r="E635" i="5"/>
  <c r="E1372" i="5"/>
  <c r="E1373" i="5"/>
  <c r="E641" i="5"/>
  <c r="E801" i="5"/>
  <c r="E1197" i="5"/>
  <c r="E1370" i="5"/>
  <c r="E1378" i="5"/>
  <c r="E1379" i="5"/>
  <c r="E1380" i="5"/>
  <c r="E1381" i="5"/>
  <c r="E1382" i="5"/>
  <c r="E1371" i="5"/>
  <c r="E1374" i="5"/>
  <c r="E1385" i="5"/>
  <c r="E1386" i="5"/>
  <c r="E1375" i="5"/>
  <c r="E1376" i="5"/>
  <c r="E1377" i="5"/>
  <c r="E1383" i="5"/>
  <c r="E1391" i="5"/>
  <c r="E1392" i="5"/>
  <c r="E1393" i="5"/>
  <c r="E1394" i="5"/>
  <c r="E1395" i="5"/>
  <c r="E1396" i="5"/>
  <c r="E1397" i="5"/>
  <c r="E1398" i="5"/>
  <c r="E1399" i="5"/>
  <c r="E1400" i="5"/>
  <c r="E1401" i="5"/>
  <c r="E1402" i="5"/>
  <c r="E1403" i="5"/>
  <c r="E1404" i="5"/>
  <c r="E1405" i="5"/>
  <c r="E1406" i="5"/>
  <c r="E1407" i="5"/>
  <c r="E1408" i="5"/>
  <c r="E1409" i="5"/>
  <c r="E1410" i="5"/>
  <c r="E1411" i="5"/>
  <c r="E1412" i="5"/>
  <c r="E1413" i="5"/>
  <c r="E1414" i="5"/>
  <c r="E1415" i="5"/>
  <c r="D1415" i="5"/>
  <c r="M1415" i="5"/>
  <c r="N1415" i="5"/>
  <c r="Q1415" i="5"/>
  <c r="R1415" i="5"/>
  <c r="U1415" i="5"/>
  <c r="D1414" i="5"/>
  <c r="M1414" i="5"/>
  <c r="N1414" i="5"/>
  <c r="Q1414" i="5"/>
  <c r="R1414" i="5"/>
  <c r="U1414" i="5"/>
  <c r="D1413" i="5"/>
  <c r="M1413" i="5"/>
  <c r="N1413" i="5"/>
  <c r="Q1413" i="5"/>
  <c r="R1413" i="5"/>
  <c r="U1413" i="5"/>
  <c r="D1412" i="5"/>
  <c r="M1412" i="5"/>
  <c r="N1412" i="5"/>
  <c r="Q1412" i="5"/>
  <c r="R1412" i="5"/>
  <c r="U1412" i="5"/>
  <c r="D1411" i="5"/>
  <c r="M1411" i="5"/>
  <c r="N1411" i="5"/>
  <c r="Q1411" i="5"/>
  <c r="R1411" i="5"/>
  <c r="U1411" i="5"/>
  <c r="D1410" i="5"/>
  <c r="M1410" i="5"/>
  <c r="N1410" i="5"/>
  <c r="Q1410" i="5"/>
  <c r="R1410" i="5"/>
  <c r="U1410" i="5"/>
  <c r="D1409" i="5"/>
  <c r="M1409" i="5"/>
  <c r="N1409" i="5"/>
  <c r="Q1409" i="5"/>
  <c r="R1409" i="5"/>
  <c r="U1409" i="5"/>
  <c r="U1443" i="5" l="1"/>
  <c r="D124" i="14"/>
  <c r="D79" i="14" l="1"/>
  <c r="H79" i="1"/>
  <c r="G79" i="1"/>
  <c r="F79" i="1"/>
  <c r="F79" i="14" s="1"/>
  <c r="D1408" i="5"/>
  <c r="M1408" i="5"/>
  <c r="N1408" i="5"/>
  <c r="Q1408" i="5"/>
  <c r="R1408" i="5"/>
  <c r="U1408" i="5"/>
  <c r="D1407" i="5"/>
  <c r="M1407" i="5"/>
  <c r="N1407" i="5"/>
  <c r="Q1407" i="5"/>
  <c r="R1407" i="5"/>
  <c r="U1407" i="5"/>
  <c r="D1406" i="5"/>
  <c r="M1406" i="5"/>
  <c r="N1406" i="5"/>
  <c r="Q1406" i="5"/>
  <c r="R1406" i="5"/>
  <c r="U1406" i="5"/>
  <c r="D1405" i="5"/>
  <c r="M1405" i="5"/>
  <c r="N1405" i="5"/>
  <c r="Q1405" i="5"/>
  <c r="R1405" i="5"/>
  <c r="U1405" i="5"/>
  <c r="D1404" i="5"/>
  <c r="M1404" i="5"/>
  <c r="N1404" i="5"/>
  <c r="Q1404" i="5"/>
  <c r="R1404" i="5"/>
  <c r="U1404" i="5"/>
  <c r="D1403" i="5"/>
  <c r="M1403" i="5"/>
  <c r="N1403" i="5"/>
  <c r="Q1403" i="5"/>
  <c r="R1403" i="5"/>
  <c r="U1403" i="5"/>
  <c r="D1402" i="5"/>
  <c r="M1402" i="5"/>
  <c r="N1402" i="5"/>
  <c r="Q1402" i="5"/>
  <c r="R1402" i="5"/>
  <c r="U1402" i="5"/>
  <c r="D1400" i="5"/>
  <c r="D1401" i="5"/>
  <c r="M1400" i="5"/>
  <c r="M1401" i="5"/>
  <c r="N1400" i="5"/>
  <c r="N1401" i="5"/>
  <c r="Q1400" i="5"/>
  <c r="Q1401" i="5"/>
  <c r="R1400" i="5"/>
  <c r="R1401" i="5"/>
  <c r="U1400" i="5"/>
  <c r="U1401" i="5"/>
  <c r="D1399" i="5"/>
  <c r="M1399" i="5"/>
  <c r="N1399" i="5"/>
  <c r="Q1399" i="5"/>
  <c r="R1399" i="5"/>
  <c r="U1399" i="5"/>
  <c r="D1398" i="5"/>
  <c r="M1398" i="5"/>
  <c r="N1398" i="5"/>
  <c r="Q1398" i="5"/>
  <c r="R1398" i="5"/>
  <c r="U1398" i="5"/>
  <c r="D1397" i="5"/>
  <c r="M1397" i="5"/>
  <c r="N1397" i="5"/>
  <c r="Q1397" i="5"/>
  <c r="R1397" i="5"/>
  <c r="U1397" i="5"/>
  <c r="D1396" i="5"/>
  <c r="M1396" i="5"/>
  <c r="N1396" i="5"/>
  <c r="Q1396" i="5"/>
  <c r="R1396" i="5"/>
  <c r="U1396" i="5"/>
  <c r="D1371" i="5"/>
  <c r="D1374" i="5"/>
  <c r="D1385" i="5"/>
  <c r="D1386" i="5"/>
  <c r="D1375" i="5"/>
  <c r="D1376" i="5"/>
  <c r="D1377" i="5"/>
  <c r="D1383" i="5"/>
  <c r="D1391" i="5"/>
  <c r="D1392" i="5"/>
  <c r="D1393" i="5"/>
  <c r="D1394" i="5"/>
  <c r="D1395" i="5"/>
  <c r="M1371" i="5"/>
  <c r="M1374" i="5"/>
  <c r="M1385" i="5"/>
  <c r="M1386" i="5"/>
  <c r="M1375" i="5"/>
  <c r="M1376" i="5"/>
  <c r="M1377" i="5"/>
  <c r="M1383" i="5"/>
  <c r="M1391" i="5"/>
  <c r="M1392" i="5"/>
  <c r="M1393" i="5"/>
  <c r="M1394" i="5"/>
  <c r="M1395" i="5"/>
  <c r="N1371" i="5"/>
  <c r="N1374" i="5"/>
  <c r="N1385" i="5"/>
  <c r="N1386" i="5"/>
  <c r="N1375" i="5"/>
  <c r="N1376" i="5"/>
  <c r="N1377" i="5"/>
  <c r="N1383" i="5"/>
  <c r="N1391" i="5"/>
  <c r="N1392" i="5"/>
  <c r="N1393" i="5"/>
  <c r="N1394" i="5"/>
  <c r="N1395" i="5"/>
  <c r="Q1371" i="5"/>
  <c r="Q1374" i="5"/>
  <c r="Q1385" i="5"/>
  <c r="Q1386" i="5"/>
  <c r="Q1375" i="5"/>
  <c r="Q1376" i="5"/>
  <c r="Q1377" i="5"/>
  <c r="Q1383" i="5"/>
  <c r="Q1391" i="5"/>
  <c r="Q1392" i="5"/>
  <c r="Q1393" i="5"/>
  <c r="Q1394" i="5"/>
  <c r="Q1395" i="5"/>
  <c r="R1371" i="5"/>
  <c r="R1374" i="5"/>
  <c r="R1385" i="5"/>
  <c r="R1386" i="5"/>
  <c r="R1375" i="5"/>
  <c r="R1376" i="5"/>
  <c r="R1377" i="5"/>
  <c r="R1383" i="5"/>
  <c r="R1391" i="5"/>
  <c r="R1392" i="5"/>
  <c r="R1393" i="5"/>
  <c r="R1394" i="5"/>
  <c r="R1395" i="5"/>
  <c r="U1371" i="5"/>
  <c r="U1374" i="5"/>
  <c r="U1385" i="5"/>
  <c r="U1386" i="5"/>
  <c r="U1375" i="5"/>
  <c r="U1376" i="5"/>
  <c r="U1377" i="5"/>
  <c r="U1383" i="5"/>
  <c r="U1391" i="5"/>
  <c r="U1392" i="5"/>
  <c r="U1393" i="5"/>
  <c r="U1394" i="5"/>
  <c r="U1395" i="5"/>
  <c r="D543" i="5"/>
  <c r="D635" i="5"/>
  <c r="D1372" i="5"/>
  <c r="D1373" i="5"/>
  <c r="D641" i="5"/>
  <c r="D801" i="5"/>
  <c r="D1197" i="5"/>
  <c r="D1370" i="5"/>
  <c r="D1378" i="5"/>
  <c r="D1379" i="5"/>
  <c r="D1380" i="5"/>
  <c r="D1381" i="5"/>
  <c r="D1382" i="5"/>
  <c r="M543" i="5"/>
  <c r="M635" i="5"/>
  <c r="M1372" i="5"/>
  <c r="M1373" i="5"/>
  <c r="M641" i="5"/>
  <c r="M801" i="5"/>
  <c r="M1197" i="5"/>
  <c r="M1370" i="5"/>
  <c r="M1378" i="5"/>
  <c r="M1379" i="5"/>
  <c r="M1380" i="5"/>
  <c r="M1381" i="5"/>
  <c r="M1382" i="5"/>
  <c r="N543" i="5"/>
  <c r="N635" i="5"/>
  <c r="N1372" i="5"/>
  <c r="N1373" i="5"/>
  <c r="N641" i="5"/>
  <c r="N801" i="5"/>
  <c r="N1197" i="5"/>
  <c r="N1370" i="5"/>
  <c r="N1378" i="5"/>
  <c r="N1379" i="5"/>
  <c r="N1380" i="5"/>
  <c r="N1381" i="5"/>
  <c r="N1382" i="5"/>
  <c r="Q543" i="5"/>
  <c r="Q635" i="5"/>
  <c r="Q1372" i="5"/>
  <c r="Q1373" i="5"/>
  <c r="Q641" i="5"/>
  <c r="Q801" i="5"/>
  <c r="Q1197" i="5"/>
  <c r="Q1370" i="5"/>
  <c r="Q1378" i="5"/>
  <c r="Q1379" i="5"/>
  <c r="Q1380" i="5"/>
  <c r="Q1381" i="5"/>
  <c r="Q1382" i="5"/>
  <c r="R543" i="5"/>
  <c r="R635" i="5"/>
  <c r="R1372" i="5"/>
  <c r="R1373" i="5"/>
  <c r="R641" i="5"/>
  <c r="R801" i="5"/>
  <c r="R1197" i="5"/>
  <c r="R1370" i="5"/>
  <c r="R1378" i="5"/>
  <c r="R1379" i="5"/>
  <c r="R1380" i="5"/>
  <c r="R1381" i="5"/>
  <c r="R1382" i="5"/>
  <c r="U543" i="5"/>
  <c r="U635" i="5"/>
  <c r="U1372" i="5"/>
  <c r="U1373" i="5"/>
  <c r="U641" i="5"/>
  <c r="U801" i="5"/>
  <c r="U1197" i="5"/>
  <c r="U1370" i="5"/>
  <c r="U1378" i="5"/>
  <c r="U1379" i="5"/>
  <c r="U1380" i="5"/>
  <c r="U1381" i="5"/>
  <c r="U1382" i="5"/>
  <c r="B59" i="10"/>
  <c r="I79" i="1" l="1"/>
  <c r="J79" i="1"/>
  <c r="K79" i="1"/>
  <c r="K79" i="14"/>
  <c r="J79" i="14"/>
  <c r="B851" i="5" l="1"/>
  <c r="L58" i="10"/>
  <c r="O58" i="10"/>
  <c r="P58" i="10"/>
  <c r="S58" i="10"/>
  <c r="L57" i="10"/>
  <c r="O57" i="10"/>
  <c r="P57" i="10"/>
  <c r="S57" i="10"/>
  <c r="B11" i="10"/>
  <c r="F38" i="1"/>
  <c r="F33" i="1"/>
  <c r="F33" i="14" s="1"/>
  <c r="D1369" i="5"/>
  <c r="M1369" i="5"/>
  <c r="N1369" i="5"/>
  <c r="Q1369" i="5"/>
  <c r="R1369" i="5"/>
  <c r="U1369" i="5"/>
  <c r="D1368" i="5"/>
  <c r="M1368" i="5"/>
  <c r="N1368" i="5"/>
  <c r="Q1368" i="5"/>
  <c r="R1368" i="5"/>
  <c r="U1368" i="5"/>
  <c r="I88" i="1" l="1"/>
  <c r="J88" i="1"/>
  <c r="K88" i="1"/>
  <c r="I34" i="1"/>
  <c r="D855" i="5"/>
  <c r="D856" i="5"/>
  <c r="D857" i="5"/>
  <c r="D858" i="5"/>
  <c r="D859" i="5"/>
  <c r="D860" i="5"/>
  <c r="D861" i="5"/>
  <c r="D862" i="5"/>
  <c r="D863" i="5"/>
  <c r="D864" i="5"/>
  <c r="D865" i="5"/>
  <c r="D866" i="5"/>
  <c r="D867" i="5"/>
  <c r="D868" i="5"/>
  <c r="D869" i="5"/>
  <c r="D870" i="5"/>
  <c r="D871" i="5"/>
  <c r="D872" i="5"/>
  <c r="D873" i="5"/>
  <c r="D874" i="5"/>
  <c r="D875" i="5"/>
  <c r="D876" i="5"/>
  <c r="D877" i="5"/>
  <c r="D878" i="5"/>
  <c r="D879" i="5"/>
  <c r="D880" i="5"/>
  <c r="D881" i="5"/>
  <c r="D882" i="5"/>
  <c r="D883" i="5"/>
  <c r="D884" i="5"/>
  <c r="D885" i="5"/>
  <c r="D886" i="5"/>
  <c r="D887" i="5"/>
  <c r="D888" i="5"/>
  <c r="D889" i="5"/>
  <c r="D890" i="5"/>
  <c r="D891" i="5"/>
  <c r="D892" i="5"/>
  <c r="D893" i="5"/>
  <c r="D894" i="5"/>
  <c r="D895" i="5"/>
  <c r="D896" i="5"/>
  <c r="D897" i="5"/>
  <c r="D898" i="5"/>
  <c r="D899" i="5"/>
  <c r="D900" i="5"/>
  <c r="D901" i="5"/>
  <c r="D902" i="5"/>
  <c r="D903" i="5"/>
  <c r="D904" i="5"/>
  <c r="D905" i="5"/>
  <c r="D906" i="5"/>
  <c r="D907" i="5"/>
  <c r="D908" i="5"/>
  <c r="D909" i="5"/>
  <c r="D910" i="5"/>
  <c r="D911" i="5"/>
  <c r="D912" i="5"/>
  <c r="D913" i="5"/>
  <c r="D914" i="5"/>
  <c r="D915" i="5"/>
  <c r="D916" i="5"/>
  <c r="D917" i="5"/>
  <c r="D918" i="5"/>
  <c r="D919" i="5"/>
  <c r="D920" i="5"/>
  <c r="D921" i="5"/>
  <c r="D922" i="5"/>
  <c r="D923" i="5"/>
  <c r="D924" i="5"/>
  <c r="D925" i="5"/>
  <c r="D926" i="5"/>
  <c r="D927" i="5"/>
  <c r="D928" i="5"/>
  <c r="D929" i="5"/>
  <c r="D930" i="5"/>
  <c r="D931" i="5"/>
  <c r="D932" i="5"/>
  <c r="D933" i="5"/>
  <c r="D934" i="5"/>
  <c r="D935" i="5"/>
  <c r="D936" i="5"/>
  <c r="D937" i="5"/>
  <c r="D938" i="5"/>
  <c r="D939" i="5"/>
  <c r="D940" i="5"/>
  <c r="D941" i="5"/>
  <c r="D942" i="5"/>
  <c r="D943" i="5"/>
  <c r="D944" i="5"/>
  <c r="D945" i="5"/>
  <c r="D946" i="5"/>
  <c r="D947" i="5"/>
  <c r="D948" i="5"/>
  <c r="D949" i="5"/>
  <c r="D950" i="5"/>
  <c r="D951" i="5"/>
  <c r="D952" i="5"/>
  <c r="D953" i="5"/>
  <c r="D954" i="5"/>
  <c r="D955" i="5"/>
  <c r="D956" i="5"/>
  <c r="D957" i="5"/>
  <c r="D958" i="5"/>
  <c r="D959" i="5"/>
  <c r="D960" i="5"/>
  <c r="D961" i="5"/>
  <c r="D962" i="5"/>
  <c r="D963" i="5"/>
  <c r="D964" i="5"/>
  <c r="D965" i="5"/>
  <c r="D966" i="5"/>
  <c r="D967" i="5"/>
  <c r="D968" i="5"/>
  <c r="D969" i="5"/>
  <c r="D970" i="5"/>
  <c r="D971" i="5"/>
  <c r="D972" i="5"/>
  <c r="D973" i="5"/>
  <c r="D974" i="5"/>
  <c r="D975" i="5"/>
  <c r="D976" i="5"/>
  <c r="D977" i="5"/>
  <c r="D978" i="5"/>
  <c r="D979" i="5"/>
  <c r="D980" i="5"/>
  <c r="D981" i="5"/>
  <c r="D982" i="5"/>
  <c r="D983" i="5"/>
  <c r="D984" i="5"/>
  <c r="D985" i="5"/>
  <c r="D986" i="5"/>
  <c r="D987" i="5"/>
  <c r="D988" i="5"/>
  <c r="D989" i="5"/>
  <c r="D990" i="5"/>
  <c r="D991" i="5"/>
  <c r="D992" i="5"/>
  <c r="D993" i="5"/>
  <c r="D994" i="5"/>
  <c r="D995" i="5"/>
  <c r="D996" i="5"/>
  <c r="D997" i="5"/>
  <c r="D998" i="5"/>
  <c r="D999" i="5"/>
  <c r="D1000" i="5"/>
  <c r="D1001" i="5"/>
  <c r="D1002" i="5"/>
  <c r="D1003" i="5"/>
  <c r="D1004" i="5"/>
  <c r="D1005" i="5"/>
  <c r="D1006" i="5"/>
  <c r="D1007" i="5"/>
  <c r="D1008" i="5"/>
  <c r="D1009" i="5"/>
  <c r="D1010" i="5"/>
  <c r="D1011" i="5"/>
  <c r="D1012" i="5"/>
  <c r="D1013" i="5"/>
  <c r="D1014" i="5"/>
  <c r="D1015" i="5"/>
  <c r="D1016" i="5"/>
  <c r="D1017" i="5"/>
  <c r="D1018" i="5"/>
  <c r="D1019" i="5"/>
  <c r="D1020" i="5"/>
  <c r="D1021" i="5"/>
  <c r="D1022" i="5"/>
  <c r="D1023" i="5"/>
  <c r="D1024" i="5"/>
  <c r="D1025" i="5"/>
  <c r="D1026" i="5"/>
  <c r="D1027" i="5"/>
  <c r="D1028" i="5"/>
  <c r="D1029" i="5"/>
  <c r="D1030" i="5"/>
  <c r="D1031" i="5"/>
  <c r="D1032" i="5"/>
  <c r="D1033" i="5"/>
  <c r="D1034" i="5"/>
  <c r="D1035" i="5"/>
  <c r="D1036" i="5"/>
  <c r="D1037" i="5"/>
  <c r="D1038" i="5"/>
  <c r="D1039" i="5"/>
  <c r="D1040" i="5"/>
  <c r="D1041" i="5"/>
  <c r="D1042" i="5"/>
  <c r="D1043" i="5"/>
  <c r="D1044" i="5"/>
  <c r="D1045" i="5"/>
  <c r="D1046" i="5"/>
  <c r="D1047" i="5"/>
  <c r="D1048" i="5"/>
  <c r="D1049" i="5"/>
  <c r="D1050" i="5"/>
  <c r="D1051" i="5"/>
  <c r="D1052" i="5"/>
  <c r="D1053" i="5"/>
  <c r="D1054" i="5"/>
  <c r="D1055" i="5"/>
  <c r="D1056" i="5"/>
  <c r="D1057" i="5"/>
  <c r="D1058" i="5"/>
  <c r="D1059" i="5"/>
  <c r="D1060" i="5"/>
  <c r="D1061" i="5"/>
  <c r="D1062" i="5"/>
  <c r="D1063" i="5"/>
  <c r="D1064" i="5"/>
  <c r="D1065" i="5"/>
  <c r="D1066" i="5"/>
  <c r="D1067" i="5"/>
  <c r="D1068" i="5"/>
  <c r="D1069" i="5"/>
  <c r="D1070" i="5"/>
  <c r="D1071" i="5"/>
  <c r="D1072" i="5"/>
  <c r="D1073" i="5"/>
  <c r="D1074" i="5"/>
  <c r="D1075" i="5"/>
  <c r="D1076" i="5"/>
  <c r="D1077" i="5"/>
  <c r="D1078" i="5"/>
  <c r="D1079" i="5"/>
  <c r="D1080" i="5"/>
  <c r="D1081" i="5"/>
  <c r="D1082" i="5"/>
  <c r="D1083" i="5"/>
  <c r="D1084" i="5"/>
  <c r="D1085" i="5"/>
  <c r="D1086" i="5"/>
  <c r="D1087" i="5"/>
  <c r="D1088" i="5"/>
  <c r="D1089" i="5"/>
  <c r="D1090" i="5"/>
  <c r="D1091" i="5"/>
  <c r="D1092" i="5"/>
  <c r="D1093" i="5"/>
  <c r="D1094" i="5"/>
  <c r="D1095" i="5"/>
  <c r="D1096" i="5"/>
  <c r="D1097" i="5"/>
  <c r="D1098" i="5"/>
  <c r="D1099" i="5"/>
  <c r="D1100" i="5"/>
  <c r="D1101" i="5"/>
  <c r="D1102" i="5"/>
  <c r="D1103" i="5"/>
  <c r="D1104" i="5"/>
  <c r="D1105" i="5"/>
  <c r="D1106" i="5"/>
  <c r="D1107" i="5"/>
  <c r="D1108" i="5"/>
  <c r="D1109" i="5"/>
  <c r="D1110" i="5"/>
  <c r="D1111" i="5"/>
  <c r="D1112" i="5"/>
  <c r="D1113" i="5"/>
  <c r="D1114" i="5"/>
  <c r="D1115" i="5"/>
  <c r="D1116" i="5"/>
  <c r="D1117" i="5"/>
  <c r="D1118" i="5"/>
  <c r="D1119" i="5"/>
  <c r="D1120" i="5"/>
  <c r="D1121" i="5"/>
  <c r="D1122" i="5"/>
  <c r="D1123" i="5"/>
  <c r="D1124" i="5"/>
  <c r="D1125" i="5"/>
  <c r="D1126" i="5"/>
  <c r="D1127" i="5"/>
  <c r="D1128" i="5"/>
  <c r="D1129" i="5"/>
  <c r="D1130" i="5"/>
  <c r="D1131" i="5"/>
  <c r="D1132" i="5"/>
  <c r="D1133" i="5"/>
  <c r="D1134" i="5"/>
  <c r="D1135" i="5"/>
  <c r="D1136" i="5"/>
  <c r="D1137" i="5"/>
  <c r="D1138" i="5"/>
  <c r="D1139" i="5"/>
  <c r="D1140" i="5"/>
  <c r="D1141" i="5"/>
  <c r="D1142" i="5"/>
  <c r="D1143" i="5"/>
  <c r="D1144" i="5"/>
  <c r="D1145" i="5"/>
  <c r="D1146" i="5"/>
  <c r="D1147" i="5"/>
  <c r="D1148" i="5"/>
  <c r="D1149" i="5"/>
  <c r="D1150" i="5"/>
  <c r="D1151" i="5"/>
  <c r="D1152" i="5"/>
  <c r="D1153" i="5"/>
  <c r="D1154" i="5"/>
  <c r="D1155" i="5"/>
  <c r="D1156" i="5"/>
  <c r="D1157" i="5"/>
  <c r="D1158" i="5"/>
  <c r="D1159" i="5"/>
  <c r="D1160" i="5"/>
  <c r="D1161" i="5"/>
  <c r="D1162" i="5"/>
  <c r="D1163" i="5"/>
  <c r="D1164" i="5"/>
  <c r="D1165" i="5"/>
  <c r="D1166" i="5"/>
  <c r="D1167" i="5"/>
  <c r="D1168" i="5"/>
  <c r="D1169" i="5"/>
  <c r="D1170" i="5"/>
  <c r="D1171" i="5"/>
  <c r="D1172" i="5"/>
  <c r="D1173" i="5"/>
  <c r="D1174" i="5"/>
  <c r="D1175" i="5"/>
  <c r="D1176" i="5"/>
  <c r="D1177" i="5"/>
  <c r="D1178" i="5"/>
  <c r="D1179" i="5"/>
  <c r="D1180" i="5"/>
  <c r="D1181" i="5"/>
  <c r="D1182" i="5"/>
  <c r="D1183" i="5"/>
  <c r="D1184" i="5"/>
  <c r="D1185" i="5"/>
  <c r="D1186" i="5"/>
  <c r="D1187" i="5"/>
  <c r="D1188" i="5"/>
  <c r="D1189" i="5"/>
  <c r="D1190" i="5"/>
  <c r="D1191" i="5"/>
  <c r="D1192" i="5"/>
  <c r="D1193" i="5"/>
  <c r="D1194" i="5"/>
  <c r="D1195" i="5"/>
  <c r="D1196" i="5"/>
  <c r="D1390" i="5"/>
  <c r="D1198" i="5"/>
  <c r="D1199" i="5"/>
  <c r="D1200" i="5"/>
  <c r="D1201" i="5"/>
  <c r="D1202" i="5"/>
  <c r="D1203" i="5"/>
  <c r="D1204" i="5"/>
  <c r="D1205" i="5"/>
  <c r="D1206" i="5"/>
  <c r="D1207" i="5"/>
  <c r="D1208" i="5"/>
  <c r="D1209" i="5"/>
  <c r="D1210" i="5"/>
  <c r="D1211" i="5"/>
  <c r="D1212" i="5"/>
  <c r="D1213" i="5"/>
  <c r="D1214" i="5"/>
  <c r="D1215" i="5"/>
  <c r="D1216" i="5"/>
  <c r="D1217" i="5"/>
  <c r="D1218" i="5"/>
  <c r="D1219" i="5"/>
  <c r="D1220" i="5"/>
  <c r="D1221" i="5"/>
  <c r="D1222" i="5"/>
  <c r="D1223" i="5"/>
  <c r="D1224" i="5"/>
  <c r="D1225" i="5"/>
  <c r="D1226" i="5"/>
  <c r="D1227" i="5"/>
  <c r="D1228" i="5"/>
  <c r="D1229" i="5"/>
  <c r="D1230" i="5"/>
  <c r="D1231" i="5"/>
  <c r="D1232" i="5"/>
  <c r="D1233" i="5"/>
  <c r="D1234" i="5"/>
  <c r="D1235" i="5"/>
  <c r="D1236" i="5"/>
  <c r="D1237" i="5"/>
  <c r="D1238" i="5"/>
  <c r="D1239" i="5"/>
  <c r="D1240" i="5"/>
  <c r="D1241" i="5"/>
  <c r="D1242" i="5"/>
  <c r="D1243" i="5"/>
  <c r="D1244" i="5"/>
  <c r="D1245" i="5"/>
  <c r="D1246" i="5"/>
  <c r="D1247" i="5"/>
  <c r="D1248" i="5"/>
  <c r="D1249" i="5"/>
  <c r="D1250" i="5"/>
  <c r="D1251" i="5"/>
  <c r="D1252" i="5"/>
  <c r="D1253" i="5"/>
  <c r="D1254" i="5"/>
  <c r="D1255" i="5"/>
  <c r="D1256" i="5"/>
  <c r="D1257" i="5"/>
  <c r="D1258" i="5"/>
  <c r="D1259" i="5"/>
  <c r="D1260" i="5"/>
  <c r="D1261" i="5"/>
  <c r="D1262" i="5"/>
  <c r="D1299" i="5"/>
  <c r="D1300" i="5"/>
  <c r="D1284" i="5"/>
  <c r="D1285" i="5"/>
  <c r="D1286" i="5"/>
  <c r="D1287" i="5"/>
  <c r="D1288" i="5"/>
  <c r="D1274" i="5"/>
  <c r="D1275" i="5"/>
  <c r="D1276" i="5"/>
  <c r="D1277" i="5"/>
  <c r="D1278" i="5"/>
  <c r="D1279" i="5"/>
  <c r="D1280" i="5"/>
  <c r="D1281" i="5"/>
  <c r="D1282" i="5"/>
  <c r="D1283" i="5"/>
  <c r="D1271" i="5"/>
  <c r="D1272" i="5"/>
  <c r="D1273" i="5"/>
  <c r="D1269" i="5"/>
  <c r="D1270" i="5"/>
  <c r="D1267" i="5"/>
  <c r="D1268" i="5"/>
  <c r="D1264" i="5"/>
  <c r="D1265" i="5"/>
  <c r="D1266" i="5"/>
  <c r="D662" i="5"/>
  <c r="D663" i="5"/>
  <c r="D664" i="5"/>
  <c r="D665" i="5"/>
  <c r="D1263" i="5"/>
  <c r="D655" i="5"/>
  <c r="D650" i="5"/>
  <c r="D651" i="5"/>
  <c r="D652" i="5"/>
  <c r="D653" i="5"/>
  <c r="D654" i="5"/>
  <c r="D1301" i="5"/>
  <c r="D1302" i="5"/>
  <c r="D1303" i="5"/>
  <c r="D1304" i="5"/>
  <c r="D1305" i="5"/>
  <c r="D1306" i="5"/>
  <c r="D1307" i="5"/>
  <c r="D1308" i="5"/>
  <c r="D1309" i="5"/>
  <c r="D1310" i="5"/>
  <c r="D1311" i="5"/>
  <c r="D1312" i="5"/>
  <c r="D1313" i="5"/>
  <c r="D1314" i="5"/>
  <c r="D1315" i="5"/>
  <c r="D1316" i="5"/>
  <c r="D1317" i="5"/>
  <c r="D1318" i="5"/>
  <c r="D1319" i="5"/>
  <c r="D1320" i="5"/>
  <c r="D1321" i="5"/>
  <c r="D1322" i="5"/>
  <c r="D1323" i="5"/>
  <c r="D1324" i="5"/>
  <c r="D1325" i="5"/>
  <c r="D1326" i="5"/>
  <c r="D1327" i="5"/>
  <c r="D1328" i="5"/>
  <c r="D1329" i="5"/>
  <c r="D1330" i="5"/>
  <c r="D1331" i="5"/>
  <c r="D1332" i="5"/>
  <c r="D1333" i="5"/>
  <c r="D1334" i="5"/>
  <c r="D1335" i="5"/>
  <c r="D1336" i="5"/>
  <c r="D1337" i="5"/>
  <c r="D1338" i="5"/>
  <c r="D1339" i="5"/>
  <c r="D1340" i="5"/>
  <c r="D1341" i="5"/>
  <c r="D1342" i="5"/>
  <c r="D1343" i="5"/>
  <c r="D1344" i="5"/>
  <c r="D1345" i="5"/>
  <c r="D1346" i="5"/>
  <c r="D1347" i="5"/>
  <c r="D1348" i="5"/>
  <c r="D1349" i="5"/>
  <c r="D1350" i="5"/>
  <c r="D1351" i="5"/>
  <c r="D1352" i="5"/>
  <c r="D1353" i="5"/>
  <c r="D1354" i="5"/>
  <c r="D1355" i="5"/>
  <c r="D1356" i="5"/>
  <c r="D1357" i="5"/>
  <c r="D1358" i="5"/>
  <c r="D1359" i="5"/>
  <c r="D1360" i="5"/>
  <c r="D1361" i="5"/>
  <c r="D1362" i="5"/>
  <c r="D1363" i="5"/>
  <c r="D1364" i="5"/>
  <c r="D1365" i="5"/>
  <c r="D1366" i="5"/>
  <c r="D1367" i="5"/>
  <c r="M855" i="5"/>
  <c r="M856" i="5"/>
  <c r="M857" i="5"/>
  <c r="M858" i="5"/>
  <c r="M859" i="5"/>
  <c r="M860" i="5"/>
  <c r="M861" i="5"/>
  <c r="M862" i="5"/>
  <c r="M863" i="5"/>
  <c r="M864" i="5"/>
  <c r="M865" i="5"/>
  <c r="M866" i="5"/>
  <c r="M867" i="5"/>
  <c r="M868" i="5"/>
  <c r="M869" i="5"/>
  <c r="M870" i="5"/>
  <c r="M871" i="5"/>
  <c r="M872" i="5"/>
  <c r="M873" i="5"/>
  <c r="M874" i="5"/>
  <c r="M875" i="5"/>
  <c r="M876" i="5"/>
  <c r="M877" i="5"/>
  <c r="M878" i="5"/>
  <c r="M879" i="5"/>
  <c r="M880" i="5"/>
  <c r="M881" i="5"/>
  <c r="M882" i="5"/>
  <c r="M883" i="5"/>
  <c r="M884" i="5"/>
  <c r="M885" i="5"/>
  <c r="M886" i="5"/>
  <c r="M887" i="5"/>
  <c r="M888" i="5"/>
  <c r="M889" i="5"/>
  <c r="M890" i="5"/>
  <c r="M891" i="5"/>
  <c r="M892" i="5"/>
  <c r="M893" i="5"/>
  <c r="M894" i="5"/>
  <c r="M895" i="5"/>
  <c r="M896" i="5"/>
  <c r="M897" i="5"/>
  <c r="M898" i="5"/>
  <c r="M899" i="5"/>
  <c r="M900" i="5"/>
  <c r="M901" i="5"/>
  <c r="M902" i="5"/>
  <c r="M903" i="5"/>
  <c r="M904" i="5"/>
  <c r="M905" i="5"/>
  <c r="M906" i="5"/>
  <c r="M907" i="5"/>
  <c r="M908" i="5"/>
  <c r="M909" i="5"/>
  <c r="M910" i="5"/>
  <c r="M911" i="5"/>
  <c r="M912" i="5"/>
  <c r="M913" i="5"/>
  <c r="M914" i="5"/>
  <c r="M915" i="5"/>
  <c r="M916" i="5"/>
  <c r="M917" i="5"/>
  <c r="M918" i="5"/>
  <c r="M919" i="5"/>
  <c r="M920" i="5"/>
  <c r="M921" i="5"/>
  <c r="M922" i="5"/>
  <c r="M923" i="5"/>
  <c r="M924" i="5"/>
  <c r="M925" i="5"/>
  <c r="M926" i="5"/>
  <c r="M927" i="5"/>
  <c r="M928" i="5"/>
  <c r="M929" i="5"/>
  <c r="M930" i="5"/>
  <c r="M931" i="5"/>
  <c r="M932" i="5"/>
  <c r="M933" i="5"/>
  <c r="M934" i="5"/>
  <c r="M935" i="5"/>
  <c r="M936" i="5"/>
  <c r="M937" i="5"/>
  <c r="M938" i="5"/>
  <c r="M939" i="5"/>
  <c r="M940" i="5"/>
  <c r="M941" i="5"/>
  <c r="M942" i="5"/>
  <c r="M943" i="5"/>
  <c r="M944" i="5"/>
  <c r="M945" i="5"/>
  <c r="M946" i="5"/>
  <c r="M947" i="5"/>
  <c r="M948" i="5"/>
  <c r="M949" i="5"/>
  <c r="M950" i="5"/>
  <c r="M951" i="5"/>
  <c r="M952" i="5"/>
  <c r="M953" i="5"/>
  <c r="M954" i="5"/>
  <c r="M955" i="5"/>
  <c r="M956" i="5"/>
  <c r="M957" i="5"/>
  <c r="M958" i="5"/>
  <c r="M959" i="5"/>
  <c r="M960" i="5"/>
  <c r="M961" i="5"/>
  <c r="M962" i="5"/>
  <c r="M963" i="5"/>
  <c r="M964" i="5"/>
  <c r="M965" i="5"/>
  <c r="M966" i="5"/>
  <c r="M967" i="5"/>
  <c r="M968" i="5"/>
  <c r="M969" i="5"/>
  <c r="M970" i="5"/>
  <c r="M971" i="5"/>
  <c r="M972" i="5"/>
  <c r="M973" i="5"/>
  <c r="M974" i="5"/>
  <c r="M975" i="5"/>
  <c r="M976" i="5"/>
  <c r="M977" i="5"/>
  <c r="M978" i="5"/>
  <c r="M979" i="5"/>
  <c r="M980" i="5"/>
  <c r="M981" i="5"/>
  <c r="M982" i="5"/>
  <c r="M983" i="5"/>
  <c r="M984" i="5"/>
  <c r="M985" i="5"/>
  <c r="M986" i="5"/>
  <c r="M987" i="5"/>
  <c r="M988" i="5"/>
  <c r="M989" i="5"/>
  <c r="M990" i="5"/>
  <c r="M991" i="5"/>
  <c r="M992" i="5"/>
  <c r="M993" i="5"/>
  <c r="M994" i="5"/>
  <c r="M995" i="5"/>
  <c r="M996" i="5"/>
  <c r="M997" i="5"/>
  <c r="M998" i="5"/>
  <c r="M999" i="5"/>
  <c r="M1000" i="5"/>
  <c r="M1001" i="5"/>
  <c r="M1002" i="5"/>
  <c r="M1003" i="5"/>
  <c r="M1004" i="5"/>
  <c r="M1005" i="5"/>
  <c r="M1006" i="5"/>
  <c r="M1007" i="5"/>
  <c r="M1008" i="5"/>
  <c r="M1009" i="5"/>
  <c r="M1010" i="5"/>
  <c r="M1011" i="5"/>
  <c r="M1012" i="5"/>
  <c r="M1013" i="5"/>
  <c r="M1014" i="5"/>
  <c r="M1015" i="5"/>
  <c r="M1016" i="5"/>
  <c r="M1017" i="5"/>
  <c r="M1018" i="5"/>
  <c r="M1019" i="5"/>
  <c r="M1020" i="5"/>
  <c r="M1021" i="5"/>
  <c r="M1022" i="5"/>
  <c r="M1023" i="5"/>
  <c r="M1024" i="5"/>
  <c r="M1025" i="5"/>
  <c r="M1026" i="5"/>
  <c r="M1027" i="5"/>
  <c r="M1028" i="5"/>
  <c r="M1029" i="5"/>
  <c r="M1030" i="5"/>
  <c r="M1031" i="5"/>
  <c r="M1032" i="5"/>
  <c r="M1033" i="5"/>
  <c r="M1034" i="5"/>
  <c r="M1035" i="5"/>
  <c r="M1036" i="5"/>
  <c r="M1037" i="5"/>
  <c r="M1038" i="5"/>
  <c r="M1039" i="5"/>
  <c r="M1040" i="5"/>
  <c r="M1041" i="5"/>
  <c r="M1042" i="5"/>
  <c r="M1043" i="5"/>
  <c r="M1044" i="5"/>
  <c r="M1045" i="5"/>
  <c r="M1046" i="5"/>
  <c r="M1047" i="5"/>
  <c r="M1048" i="5"/>
  <c r="M1049" i="5"/>
  <c r="M1050" i="5"/>
  <c r="M1051" i="5"/>
  <c r="M1052" i="5"/>
  <c r="M1053" i="5"/>
  <c r="M1054" i="5"/>
  <c r="M1055" i="5"/>
  <c r="M1056" i="5"/>
  <c r="M1057" i="5"/>
  <c r="M1058" i="5"/>
  <c r="M1059" i="5"/>
  <c r="M1060" i="5"/>
  <c r="M1061" i="5"/>
  <c r="M1062" i="5"/>
  <c r="M1063" i="5"/>
  <c r="M1064" i="5"/>
  <c r="M1065" i="5"/>
  <c r="M1066" i="5"/>
  <c r="M1067" i="5"/>
  <c r="M1068" i="5"/>
  <c r="M1069" i="5"/>
  <c r="M1070" i="5"/>
  <c r="M1071" i="5"/>
  <c r="M1072" i="5"/>
  <c r="M1073" i="5"/>
  <c r="M1074" i="5"/>
  <c r="M1075" i="5"/>
  <c r="M1076" i="5"/>
  <c r="M1077" i="5"/>
  <c r="M1078" i="5"/>
  <c r="M1079" i="5"/>
  <c r="M1080" i="5"/>
  <c r="M1081" i="5"/>
  <c r="M1082" i="5"/>
  <c r="M1083" i="5"/>
  <c r="M1084" i="5"/>
  <c r="M1085" i="5"/>
  <c r="M1086" i="5"/>
  <c r="M1087" i="5"/>
  <c r="M1088" i="5"/>
  <c r="M1089" i="5"/>
  <c r="M1090" i="5"/>
  <c r="M1091" i="5"/>
  <c r="M1092" i="5"/>
  <c r="M1093" i="5"/>
  <c r="M1094" i="5"/>
  <c r="M1095" i="5"/>
  <c r="M1096" i="5"/>
  <c r="M1097" i="5"/>
  <c r="M1098" i="5"/>
  <c r="M1099" i="5"/>
  <c r="M1100" i="5"/>
  <c r="M1101" i="5"/>
  <c r="M1102" i="5"/>
  <c r="M1103" i="5"/>
  <c r="M1104" i="5"/>
  <c r="M1105" i="5"/>
  <c r="M1106" i="5"/>
  <c r="M1107" i="5"/>
  <c r="M1108" i="5"/>
  <c r="M1109" i="5"/>
  <c r="M1110" i="5"/>
  <c r="M1111" i="5"/>
  <c r="M1112" i="5"/>
  <c r="M1113" i="5"/>
  <c r="M1114" i="5"/>
  <c r="M1115" i="5"/>
  <c r="M1116" i="5"/>
  <c r="M1117" i="5"/>
  <c r="M1118" i="5"/>
  <c r="M1119" i="5"/>
  <c r="M1120" i="5"/>
  <c r="M1121" i="5"/>
  <c r="M1122" i="5"/>
  <c r="M1123" i="5"/>
  <c r="M1124" i="5"/>
  <c r="M1125" i="5"/>
  <c r="M1126" i="5"/>
  <c r="M1127" i="5"/>
  <c r="M1128" i="5"/>
  <c r="M1129" i="5"/>
  <c r="M1130" i="5"/>
  <c r="M1131" i="5"/>
  <c r="M1132" i="5"/>
  <c r="M1133" i="5"/>
  <c r="M1134" i="5"/>
  <c r="M1135" i="5"/>
  <c r="M1136" i="5"/>
  <c r="M1137" i="5"/>
  <c r="M1138" i="5"/>
  <c r="M1139" i="5"/>
  <c r="M1140" i="5"/>
  <c r="M1141" i="5"/>
  <c r="M1142" i="5"/>
  <c r="M1143" i="5"/>
  <c r="M1144" i="5"/>
  <c r="M1145" i="5"/>
  <c r="M1146" i="5"/>
  <c r="M1147" i="5"/>
  <c r="M1148" i="5"/>
  <c r="M1149" i="5"/>
  <c r="M1150" i="5"/>
  <c r="M1151" i="5"/>
  <c r="M1152" i="5"/>
  <c r="M1153" i="5"/>
  <c r="M1154" i="5"/>
  <c r="M1155" i="5"/>
  <c r="M1156" i="5"/>
  <c r="M1157" i="5"/>
  <c r="M1158" i="5"/>
  <c r="M1159" i="5"/>
  <c r="M1160" i="5"/>
  <c r="M1161" i="5"/>
  <c r="M1162" i="5"/>
  <c r="M1163" i="5"/>
  <c r="M1164" i="5"/>
  <c r="M1165" i="5"/>
  <c r="M1166" i="5"/>
  <c r="M1167" i="5"/>
  <c r="M1168" i="5"/>
  <c r="M1169" i="5"/>
  <c r="M1170" i="5"/>
  <c r="M1171" i="5"/>
  <c r="M1172" i="5"/>
  <c r="M1173" i="5"/>
  <c r="M1174" i="5"/>
  <c r="M1175" i="5"/>
  <c r="M1176" i="5"/>
  <c r="M1177" i="5"/>
  <c r="M1178" i="5"/>
  <c r="M1179" i="5"/>
  <c r="M1180" i="5"/>
  <c r="M1181" i="5"/>
  <c r="M1182" i="5"/>
  <c r="M1183" i="5"/>
  <c r="M1184" i="5"/>
  <c r="M1185" i="5"/>
  <c r="M1186" i="5"/>
  <c r="M1187" i="5"/>
  <c r="M1188" i="5"/>
  <c r="M1189" i="5"/>
  <c r="M1190" i="5"/>
  <c r="M1191" i="5"/>
  <c r="M1192" i="5"/>
  <c r="M1193" i="5"/>
  <c r="M1194" i="5"/>
  <c r="M1195" i="5"/>
  <c r="M1196" i="5"/>
  <c r="M1390" i="5"/>
  <c r="M1198" i="5"/>
  <c r="M1199" i="5"/>
  <c r="M1200" i="5"/>
  <c r="M1201" i="5"/>
  <c r="M1202" i="5"/>
  <c r="M1203" i="5"/>
  <c r="M1204" i="5"/>
  <c r="M1205" i="5"/>
  <c r="M1206" i="5"/>
  <c r="M1207" i="5"/>
  <c r="M1208" i="5"/>
  <c r="M1209" i="5"/>
  <c r="M1210" i="5"/>
  <c r="M1211" i="5"/>
  <c r="M1212" i="5"/>
  <c r="M1213" i="5"/>
  <c r="M1214" i="5"/>
  <c r="M1215" i="5"/>
  <c r="M1216" i="5"/>
  <c r="M1217" i="5"/>
  <c r="M1218" i="5"/>
  <c r="M1219" i="5"/>
  <c r="M1220" i="5"/>
  <c r="M1221" i="5"/>
  <c r="M1222" i="5"/>
  <c r="M1223" i="5"/>
  <c r="M1224" i="5"/>
  <c r="M1225" i="5"/>
  <c r="M1226" i="5"/>
  <c r="M1227" i="5"/>
  <c r="M1228" i="5"/>
  <c r="M1229" i="5"/>
  <c r="M1230" i="5"/>
  <c r="M1231" i="5"/>
  <c r="M1232" i="5"/>
  <c r="M1233" i="5"/>
  <c r="M1234" i="5"/>
  <c r="M1235" i="5"/>
  <c r="M1236" i="5"/>
  <c r="M1237" i="5"/>
  <c r="M1238" i="5"/>
  <c r="M1239" i="5"/>
  <c r="M1240" i="5"/>
  <c r="M1241" i="5"/>
  <c r="M1242" i="5"/>
  <c r="M1243" i="5"/>
  <c r="M1244" i="5"/>
  <c r="M1245" i="5"/>
  <c r="M1246" i="5"/>
  <c r="M1247" i="5"/>
  <c r="M1248" i="5"/>
  <c r="M1249" i="5"/>
  <c r="M1250" i="5"/>
  <c r="M1251" i="5"/>
  <c r="M1252" i="5"/>
  <c r="M1253" i="5"/>
  <c r="M1254" i="5"/>
  <c r="M1255" i="5"/>
  <c r="M1256" i="5"/>
  <c r="M1257" i="5"/>
  <c r="M1258" i="5"/>
  <c r="M1259" i="5"/>
  <c r="M1260" i="5"/>
  <c r="M1261" i="5"/>
  <c r="M1262" i="5"/>
  <c r="M1299" i="5"/>
  <c r="M1300" i="5"/>
  <c r="M1284" i="5"/>
  <c r="M1285" i="5"/>
  <c r="M1286" i="5"/>
  <c r="M1287" i="5"/>
  <c r="M1288" i="5"/>
  <c r="M1274" i="5"/>
  <c r="M1275" i="5"/>
  <c r="M1276" i="5"/>
  <c r="M1277" i="5"/>
  <c r="M1278" i="5"/>
  <c r="M1279" i="5"/>
  <c r="M1280" i="5"/>
  <c r="M1281" i="5"/>
  <c r="M1282" i="5"/>
  <c r="M1283" i="5"/>
  <c r="M1271" i="5"/>
  <c r="M1272" i="5"/>
  <c r="M1273" i="5"/>
  <c r="M1269" i="5"/>
  <c r="M1270" i="5"/>
  <c r="M1267" i="5"/>
  <c r="M1268" i="5"/>
  <c r="M1264" i="5"/>
  <c r="M1265" i="5"/>
  <c r="M1266" i="5"/>
  <c r="M662" i="5"/>
  <c r="M663" i="5"/>
  <c r="M664" i="5"/>
  <c r="M665" i="5"/>
  <c r="M1263" i="5"/>
  <c r="M655" i="5"/>
  <c r="M650" i="5"/>
  <c r="M651" i="5"/>
  <c r="M652" i="5"/>
  <c r="M653" i="5"/>
  <c r="M654" i="5"/>
  <c r="M1301" i="5"/>
  <c r="M1302" i="5"/>
  <c r="M1303" i="5"/>
  <c r="M1304" i="5"/>
  <c r="M1305" i="5"/>
  <c r="M1306" i="5"/>
  <c r="M1307" i="5"/>
  <c r="M1308" i="5"/>
  <c r="M1309" i="5"/>
  <c r="M1310" i="5"/>
  <c r="M1311" i="5"/>
  <c r="M1312" i="5"/>
  <c r="M1313" i="5"/>
  <c r="M1314" i="5"/>
  <c r="M1315" i="5"/>
  <c r="M1316" i="5"/>
  <c r="M1317" i="5"/>
  <c r="M1318" i="5"/>
  <c r="M1319" i="5"/>
  <c r="M1320" i="5"/>
  <c r="M1321" i="5"/>
  <c r="M1322" i="5"/>
  <c r="M1323" i="5"/>
  <c r="M1324" i="5"/>
  <c r="M1325" i="5"/>
  <c r="M1326" i="5"/>
  <c r="M1327" i="5"/>
  <c r="M1328" i="5"/>
  <c r="M1329" i="5"/>
  <c r="M1330" i="5"/>
  <c r="M1331" i="5"/>
  <c r="M1332" i="5"/>
  <c r="M1333" i="5"/>
  <c r="M1334" i="5"/>
  <c r="M1335" i="5"/>
  <c r="M1336" i="5"/>
  <c r="M1337" i="5"/>
  <c r="M1338" i="5"/>
  <c r="M1339" i="5"/>
  <c r="M1340" i="5"/>
  <c r="M1341" i="5"/>
  <c r="M1342" i="5"/>
  <c r="M1343" i="5"/>
  <c r="M1344" i="5"/>
  <c r="M1345" i="5"/>
  <c r="M1346" i="5"/>
  <c r="M1347" i="5"/>
  <c r="M1348" i="5"/>
  <c r="M1349" i="5"/>
  <c r="M1350" i="5"/>
  <c r="M1351" i="5"/>
  <c r="M1352" i="5"/>
  <c r="M1353" i="5"/>
  <c r="M1354" i="5"/>
  <c r="M1355" i="5"/>
  <c r="M1356" i="5"/>
  <c r="M1357" i="5"/>
  <c r="M1358" i="5"/>
  <c r="M1359" i="5"/>
  <c r="M1360" i="5"/>
  <c r="M1361" i="5"/>
  <c r="M1362" i="5"/>
  <c r="M1363" i="5"/>
  <c r="M1364" i="5"/>
  <c r="M1365" i="5"/>
  <c r="M1366" i="5"/>
  <c r="M1367" i="5"/>
  <c r="N855" i="5"/>
  <c r="N856" i="5"/>
  <c r="N857" i="5"/>
  <c r="N858" i="5"/>
  <c r="N859" i="5"/>
  <c r="N860" i="5"/>
  <c r="N861" i="5"/>
  <c r="N862" i="5"/>
  <c r="N863" i="5"/>
  <c r="N864" i="5"/>
  <c r="N865" i="5"/>
  <c r="N866" i="5"/>
  <c r="N867" i="5"/>
  <c r="N868" i="5"/>
  <c r="N869" i="5"/>
  <c r="N870" i="5"/>
  <c r="N871" i="5"/>
  <c r="N872" i="5"/>
  <c r="N873" i="5"/>
  <c r="N874" i="5"/>
  <c r="N875" i="5"/>
  <c r="N876" i="5"/>
  <c r="N877" i="5"/>
  <c r="N878" i="5"/>
  <c r="N879" i="5"/>
  <c r="N880" i="5"/>
  <c r="N881" i="5"/>
  <c r="N882" i="5"/>
  <c r="N883" i="5"/>
  <c r="N884" i="5"/>
  <c r="N885" i="5"/>
  <c r="N886" i="5"/>
  <c r="N887" i="5"/>
  <c r="N888" i="5"/>
  <c r="N889" i="5"/>
  <c r="N890" i="5"/>
  <c r="N891" i="5"/>
  <c r="N892" i="5"/>
  <c r="N893" i="5"/>
  <c r="N894" i="5"/>
  <c r="N895" i="5"/>
  <c r="N896" i="5"/>
  <c r="N897" i="5"/>
  <c r="N898" i="5"/>
  <c r="N899" i="5"/>
  <c r="N900" i="5"/>
  <c r="N901" i="5"/>
  <c r="N902" i="5"/>
  <c r="N903" i="5"/>
  <c r="N904" i="5"/>
  <c r="N905" i="5"/>
  <c r="N906" i="5"/>
  <c r="N907" i="5"/>
  <c r="N908" i="5"/>
  <c r="N909" i="5"/>
  <c r="N910" i="5"/>
  <c r="N911" i="5"/>
  <c r="N912" i="5"/>
  <c r="N913" i="5"/>
  <c r="N914" i="5"/>
  <c r="N915" i="5"/>
  <c r="N916" i="5"/>
  <c r="N917" i="5"/>
  <c r="N918" i="5"/>
  <c r="N919" i="5"/>
  <c r="N920" i="5"/>
  <c r="N921" i="5"/>
  <c r="N922" i="5"/>
  <c r="N923" i="5"/>
  <c r="N924" i="5"/>
  <c r="N925" i="5"/>
  <c r="N926" i="5"/>
  <c r="N927" i="5"/>
  <c r="N928" i="5"/>
  <c r="N929" i="5"/>
  <c r="N930" i="5"/>
  <c r="N931" i="5"/>
  <c r="N932" i="5"/>
  <c r="N933" i="5"/>
  <c r="N934" i="5"/>
  <c r="N935" i="5"/>
  <c r="N936" i="5"/>
  <c r="N937" i="5"/>
  <c r="N938" i="5"/>
  <c r="N939" i="5"/>
  <c r="N940" i="5"/>
  <c r="N941" i="5"/>
  <c r="N942" i="5"/>
  <c r="N943" i="5"/>
  <c r="N944" i="5"/>
  <c r="N945" i="5"/>
  <c r="N946" i="5"/>
  <c r="N947" i="5"/>
  <c r="N948" i="5"/>
  <c r="N949" i="5"/>
  <c r="N950" i="5"/>
  <c r="N951" i="5"/>
  <c r="N952" i="5"/>
  <c r="N953" i="5"/>
  <c r="N954" i="5"/>
  <c r="N955" i="5"/>
  <c r="N956" i="5"/>
  <c r="N957" i="5"/>
  <c r="N958" i="5"/>
  <c r="N959" i="5"/>
  <c r="N960" i="5"/>
  <c r="N961" i="5"/>
  <c r="N962" i="5"/>
  <c r="N963" i="5"/>
  <c r="N964" i="5"/>
  <c r="N965" i="5"/>
  <c r="N966" i="5"/>
  <c r="N967" i="5"/>
  <c r="N968" i="5"/>
  <c r="N969" i="5"/>
  <c r="N970" i="5"/>
  <c r="N971" i="5"/>
  <c r="N972" i="5"/>
  <c r="N973" i="5"/>
  <c r="N974" i="5"/>
  <c r="N975" i="5"/>
  <c r="N976" i="5"/>
  <c r="N977" i="5"/>
  <c r="N978" i="5"/>
  <c r="N979" i="5"/>
  <c r="N980" i="5"/>
  <c r="N981" i="5"/>
  <c r="N982" i="5"/>
  <c r="N983" i="5"/>
  <c r="N984" i="5"/>
  <c r="N985" i="5"/>
  <c r="N986" i="5"/>
  <c r="N987" i="5"/>
  <c r="N988" i="5"/>
  <c r="N989" i="5"/>
  <c r="N990" i="5"/>
  <c r="N991" i="5"/>
  <c r="N992" i="5"/>
  <c r="N993" i="5"/>
  <c r="N994" i="5"/>
  <c r="N995" i="5"/>
  <c r="N996" i="5"/>
  <c r="N997" i="5"/>
  <c r="N998" i="5"/>
  <c r="N999" i="5"/>
  <c r="N1000" i="5"/>
  <c r="N1001" i="5"/>
  <c r="N1002" i="5"/>
  <c r="N1003" i="5"/>
  <c r="N1004" i="5"/>
  <c r="N1005" i="5"/>
  <c r="N1006" i="5"/>
  <c r="N1007" i="5"/>
  <c r="N1008" i="5"/>
  <c r="N1009" i="5"/>
  <c r="N1010" i="5"/>
  <c r="N1011" i="5"/>
  <c r="N1012" i="5"/>
  <c r="N1013" i="5"/>
  <c r="N1014" i="5"/>
  <c r="N1015" i="5"/>
  <c r="N1016" i="5"/>
  <c r="N1017" i="5"/>
  <c r="N1018" i="5"/>
  <c r="N1019" i="5"/>
  <c r="N1020" i="5"/>
  <c r="N1021" i="5"/>
  <c r="N1022" i="5"/>
  <c r="N1023" i="5"/>
  <c r="N1024" i="5"/>
  <c r="N1025" i="5"/>
  <c r="N1026" i="5"/>
  <c r="N1027" i="5"/>
  <c r="N1028" i="5"/>
  <c r="N1029" i="5"/>
  <c r="N1030" i="5"/>
  <c r="N1031" i="5"/>
  <c r="N1032" i="5"/>
  <c r="N1033" i="5"/>
  <c r="N1034" i="5"/>
  <c r="N1035" i="5"/>
  <c r="N1036" i="5"/>
  <c r="N1037" i="5"/>
  <c r="N1038" i="5"/>
  <c r="N1039" i="5"/>
  <c r="N1040" i="5"/>
  <c r="N1041" i="5"/>
  <c r="N1042" i="5"/>
  <c r="N1043" i="5"/>
  <c r="N1044" i="5"/>
  <c r="N1045" i="5"/>
  <c r="N1046" i="5"/>
  <c r="N1047" i="5"/>
  <c r="N1048" i="5"/>
  <c r="N1049" i="5"/>
  <c r="N1050" i="5"/>
  <c r="N1051" i="5"/>
  <c r="N1052" i="5"/>
  <c r="N1053" i="5"/>
  <c r="N1054" i="5"/>
  <c r="N1055" i="5"/>
  <c r="N1056" i="5"/>
  <c r="N1057" i="5"/>
  <c r="N1058" i="5"/>
  <c r="N1059" i="5"/>
  <c r="N1060" i="5"/>
  <c r="N1061" i="5"/>
  <c r="N1062" i="5"/>
  <c r="N1063" i="5"/>
  <c r="N1064" i="5"/>
  <c r="N1065" i="5"/>
  <c r="N1066" i="5"/>
  <c r="N1067" i="5"/>
  <c r="N1068" i="5"/>
  <c r="N1069" i="5"/>
  <c r="N1070" i="5"/>
  <c r="N1071" i="5"/>
  <c r="N1072" i="5"/>
  <c r="N1073" i="5"/>
  <c r="N1074" i="5"/>
  <c r="N1075" i="5"/>
  <c r="N1076" i="5"/>
  <c r="N1077" i="5"/>
  <c r="N1078" i="5"/>
  <c r="N1079" i="5"/>
  <c r="N1080" i="5"/>
  <c r="N1081" i="5"/>
  <c r="N1082" i="5"/>
  <c r="N1083" i="5"/>
  <c r="N1084" i="5"/>
  <c r="N1085" i="5"/>
  <c r="N1086" i="5"/>
  <c r="N1087" i="5"/>
  <c r="N1088" i="5"/>
  <c r="N1089" i="5"/>
  <c r="N1090" i="5"/>
  <c r="N1091" i="5"/>
  <c r="N1092" i="5"/>
  <c r="N1093" i="5"/>
  <c r="N1094" i="5"/>
  <c r="N1095" i="5"/>
  <c r="N1096" i="5"/>
  <c r="N1097" i="5"/>
  <c r="N1098" i="5"/>
  <c r="N1099" i="5"/>
  <c r="N1100" i="5"/>
  <c r="N1101" i="5"/>
  <c r="N1102" i="5"/>
  <c r="N1103" i="5"/>
  <c r="N1104" i="5"/>
  <c r="N1105" i="5"/>
  <c r="N1106" i="5"/>
  <c r="N1107" i="5"/>
  <c r="N1108" i="5"/>
  <c r="N1109" i="5"/>
  <c r="N1110" i="5"/>
  <c r="N1111" i="5"/>
  <c r="N1112" i="5"/>
  <c r="N1113" i="5"/>
  <c r="N1114" i="5"/>
  <c r="N1115" i="5"/>
  <c r="N1116" i="5"/>
  <c r="N1117" i="5"/>
  <c r="N1118" i="5"/>
  <c r="N1119" i="5"/>
  <c r="N1120" i="5"/>
  <c r="N1121" i="5"/>
  <c r="N1122" i="5"/>
  <c r="N1123" i="5"/>
  <c r="N1124" i="5"/>
  <c r="N1125" i="5"/>
  <c r="N1126" i="5"/>
  <c r="N1127" i="5"/>
  <c r="N1128" i="5"/>
  <c r="N1129" i="5"/>
  <c r="N1130" i="5"/>
  <c r="N1131" i="5"/>
  <c r="N1132" i="5"/>
  <c r="N1133" i="5"/>
  <c r="N1134" i="5"/>
  <c r="N1135" i="5"/>
  <c r="N1136" i="5"/>
  <c r="N1137" i="5"/>
  <c r="N1138" i="5"/>
  <c r="N1139" i="5"/>
  <c r="N1140" i="5"/>
  <c r="N1141" i="5"/>
  <c r="N1142" i="5"/>
  <c r="N1143" i="5"/>
  <c r="N1144" i="5"/>
  <c r="N1145" i="5"/>
  <c r="N1146" i="5"/>
  <c r="N1147" i="5"/>
  <c r="N1148" i="5"/>
  <c r="N1149" i="5"/>
  <c r="N1150" i="5"/>
  <c r="N1151" i="5"/>
  <c r="N1152" i="5"/>
  <c r="N1153" i="5"/>
  <c r="N1154" i="5"/>
  <c r="N1155" i="5"/>
  <c r="N1156" i="5"/>
  <c r="N1157" i="5"/>
  <c r="N1158" i="5"/>
  <c r="N1159" i="5"/>
  <c r="N1160" i="5"/>
  <c r="N1161" i="5"/>
  <c r="N1162" i="5"/>
  <c r="N1163" i="5"/>
  <c r="N1164" i="5"/>
  <c r="N1165" i="5"/>
  <c r="N1166" i="5"/>
  <c r="N1167" i="5"/>
  <c r="N1168" i="5"/>
  <c r="N1169" i="5"/>
  <c r="N1170" i="5"/>
  <c r="N1171" i="5"/>
  <c r="N1172" i="5"/>
  <c r="N1173" i="5"/>
  <c r="N1174" i="5"/>
  <c r="N1175" i="5"/>
  <c r="N1176" i="5"/>
  <c r="N1177" i="5"/>
  <c r="N1178" i="5"/>
  <c r="N1179" i="5"/>
  <c r="N1180" i="5"/>
  <c r="N1181" i="5"/>
  <c r="N1182" i="5"/>
  <c r="N1183" i="5"/>
  <c r="N1184" i="5"/>
  <c r="N1185" i="5"/>
  <c r="N1186" i="5"/>
  <c r="N1187" i="5"/>
  <c r="N1188" i="5"/>
  <c r="N1189" i="5"/>
  <c r="N1190" i="5"/>
  <c r="N1191" i="5"/>
  <c r="N1192" i="5"/>
  <c r="N1193" i="5"/>
  <c r="N1194" i="5"/>
  <c r="N1195" i="5"/>
  <c r="N1196" i="5"/>
  <c r="N1390" i="5"/>
  <c r="N1198" i="5"/>
  <c r="N1199" i="5"/>
  <c r="N1200" i="5"/>
  <c r="N1201" i="5"/>
  <c r="N1202" i="5"/>
  <c r="N1203" i="5"/>
  <c r="N1204" i="5"/>
  <c r="N1205" i="5"/>
  <c r="N1206" i="5"/>
  <c r="N1207" i="5"/>
  <c r="N1208" i="5"/>
  <c r="N1209" i="5"/>
  <c r="N1210" i="5"/>
  <c r="N1211" i="5"/>
  <c r="N1212" i="5"/>
  <c r="N1213" i="5"/>
  <c r="N1214" i="5"/>
  <c r="N1215" i="5"/>
  <c r="N1216" i="5"/>
  <c r="N1217" i="5"/>
  <c r="N1218" i="5"/>
  <c r="N1219" i="5"/>
  <c r="N1220" i="5"/>
  <c r="N1221" i="5"/>
  <c r="N1222" i="5"/>
  <c r="N1223" i="5"/>
  <c r="N1224" i="5"/>
  <c r="N1225" i="5"/>
  <c r="N1226" i="5"/>
  <c r="N1227" i="5"/>
  <c r="N1228" i="5"/>
  <c r="N1229" i="5"/>
  <c r="N1230" i="5"/>
  <c r="N1231" i="5"/>
  <c r="N1232" i="5"/>
  <c r="N1233" i="5"/>
  <c r="N1234" i="5"/>
  <c r="N1235" i="5"/>
  <c r="N1236" i="5"/>
  <c r="N1237" i="5"/>
  <c r="N1238" i="5"/>
  <c r="N1239" i="5"/>
  <c r="N1240" i="5"/>
  <c r="N1241" i="5"/>
  <c r="N1242" i="5"/>
  <c r="N1243" i="5"/>
  <c r="N1244" i="5"/>
  <c r="N1245" i="5"/>
  <c r="N1246" i="5"/>
  <c r="N1247" i="5"/>
  <c r="N1248" i="5"/>
  <c r="N1249" i="5"/>
  <c r="N1250" i="5"/>
  <c r="N1251" i="5"/>
  <c r="N1252" i="5"/>
  <c r="N1253" i="5"/>
  <c r="N1254" i="5"/>
  <c r="N1255" i="5"/>
  <c r="N1256" i="5"/>
  <c r="N1257" i="5"/>
  <c r="N1258" i="5"/>
  <c r="N1259" i="5"/>
  <c r="N1260" i="5"/>
  <c r="N1261" i="5"/>
  <c r="N1262" i="5"/>
  <c r="N1299" i="5"/>
  <c r="N1300" i="5"/>
  <c r="N1284" i="5"/>
  <c r="N1285" i="5"/>
  <c r="N1286" i="5"/>
  <c r="N1287" i="5"/>
  <c r="N1288" i="5"/>
  <c r="N1274" i="5"/>
  <c r="N1275" i="5"/>
  <c r="N1276" i="5"/>
  <c r="N1277" i="5"/>
  <c r="N1278" i="5"/>
  <c r="N1279" i="5"/>
  <c r="N1280" i="5"/>
  <c r="N1281" i="5"/>
  <c r="N1282" i="5"/>
  <c r="N1283" i="5"/>
  <c r="N1271" i="5"/>
  <c r="N1272" i="5"/>
  <c r="N1273" i="5"/>
  <c r="N1269" i="5"/>
  <c r="N1270" i="5"/>
  <c r="N1267" i="5"/>
  <c r="N1268" i="5"/>
  <c r="N1264" i="5"/>
  <c r="N1265" i="5"/>
  <c r="N1266" i="5"/>
  <c r="N662" i="5"/>
  <c r="N663" i="5"/>
  <c r="N664" i="5"/>
  <c r="N665" i="5"/>
  <c r="N1263" i="5"/>
  <c r="N655" i="5"/>
  <c r="N650" i="5"/>
  <c r="N651" i="5"/>
  <c r="N652" i="5"/>
  <c r="N653" i="5"/>
  <c r="N654" i="5"/>
  <c r="N1301" i="5"/>
  <c r="N1302" i="5"/>
  <c r="N1303" i="5"/>
  <c r="N1304" i="5"/>
  <c r="N1305" i="5"/>
  <c r="N1306" i="5"/>
  <c r="N1307" i="5"/>
  <c r="N1308" i="5"/>
  <c r="N1309" i="5"/>
  <c r="N1310" i="5"/>
  <c r="N1311" i="5"/>
  <c r="N1312" i="5"/>
  <c r="N1313" i="5"/>
  <c r="N1314" i="5"/>
  <c r="N1315" i="5"/>
  <c r="N1316" i="5"/>
  <c r="N1317" i="5"/>
  <c r="N1318" i="5"/>
  <c r="N1319" i="5"/>
  <c r="N1320" i="5"/>
  <c r="N1321" i="5"/>
  <c r="N1322" i="5"/>
  <c r="N1323" i="5"/>
  <c r="N1324" i="5"/>
  <c r="N1325" i="5"/>
  <c r="N1326" i="5"/>
  <c r="N1327" i="5"/>
  <c r="N1328" i="5"/>
  <c r="N1329" i="5"/>
  <c r="N1330" i="5"/>
  <c r="N1331" i="5"/>
  <c r="N1332" i="5"/>
  <c r="N1333" i="5"/>
  <c r="N1334" i="5"/>
  <c r="N1335" i="5"/>
  <c r="N1336" i="5"/>
  <c r="N1337" i="5"/>
  <c r="N1338" i="5"/>
  <c r="N1339" i="5"/>
  <c r="N1340" i="5"/>
  <c r="N1341" i="5"/>
  <c r="N1342" i="5"/>
  <c r="N1343" i="5"/>
  <c r="N1344" i="5"/>
  <c r="N1345" i="5"/>
  <c r="N1346" i="5"/>
  <c r="N1347" i="5"/>
  <c r="N1348" i="5"/>
  <c r="N1349" i="5"/>
  <c r="N1350" i="5"/>
  <c r="N1351" i="5"/>
  <c r="N1352" i="5"/>
  <c r="N1353" i="5"/>
  <c r="N1354" i="5"/>
  <c r="N1355" i="5"/>
  <c r="N1356" i="5"/>
  <c r="N1357" i="5"/>
  <c r="N1358" i="5"/>
  <c r="N1359" i="5"/>
  <c r="N1360" i="5"/>
  <c r="N1361" i="5"/>
  <c r="N1362" i="5"/>
  <c r="N1363" i="5"/>
  <c r="N1364" i="5"/>
  <c r="N1365" i="5"/>
  <c r="N1366" i="5"/>
  <c r="N1367" i="5"/>
  <c r="Q855" i="5"/>
  <c r="Q856" i="5"/>
  <c r="Q857" i="5"/>
  <c r="Q858" i="5"/>
  <c r="Q859" i="5"/>
  <c r="Q860" i="5"/>
  <c r="Q861" i="5"/>
  <c r="Q862" i="5"/>
  <c r="Q863" i="5"/>
  <c r="Q864" i="5"/>
  <c r="Q865" i="5"/>
  <c r="Q866" i="5"/>
  <c r="Q867" i="5"/>
  <c r="Q868" i="5"/>
  <c r="Q869" i="5"/>
  <c r="Q870" i="5"/>
  <c r="Q871" i="5"/>
  <c r="Q872" i="5"/>
  <c r="Q873" i="5"/>
  <c r="Q874" i="5"/>
  <c r="Q875" i="5"/>
  <c r="Q876" i="5"/>
  <c r="Q877" i="5"/>
  <c r="Q878" i="5"/>
  <c r="Q879" i="5"/>
  <c r="Q880" i="5"/>
  <c r="Q881" i="5"/>
  <c r="Q882" i="5"/>
  <c r="Q883" i="5"/>
  <c r="Q884" i="5"/>
  <c r="Q885" i="5"/>
  <c r="Q886" i="5"/>
  <c r="Q887" i="5"/>
  <c r="Q888" i="5"/>
  <c r="Q889" i="5"/>
  <c r="Q890" i="5"/>
  <c r="Q891" i="5"/>
  <c r="Q892" i="5"/>
  <c r="Q893" i="5"/>
  <c r="Q894" i="5"/>
  <c r="Q895" i="5"/>
  <c r="Q896" i="5"/>
  <c r="Q897" i="5"/>
  <c r="Q898" i="5"/>
  <c r="Q899" i="5"/>
  <c r="Q900" i="5"/>
  <c r="Q901" i="5"/>
  <c r="Q902" i="5"/>
  <c r="Q903" i="5"/>
  <c r="Q904" i="5"/>
  <c r="Q905" i="5"/>
  <c r="Q906" i="5"/>
  <c r="Q907" i="5"/>
  <c r="Q908" i="5"/>
  <c r="Q909" i="5"/>
  <c r="Q910" i="5"/>
  <c r="Q911" i="5"/>
  <c r="Q912" i="5"/>
  <c r="Q913" i="5"/>
  <c r="Q914" i="5"/>
  <c r="Q915" i="5"/>
  <c r="Q916" i="5"/>
  <c r="Q917" i="5"/>
  <c r="Q918" i="5"/>
  <c r="Q919" i="5"/>
  <c r="Q920" i="5"/>
  <c r="Q921" i="5"/>
  <c r="Q922" i="5"/>
  <c r="Q923" i="5"/>
  <c r="Q924" i="5"/>
  <c r="Q925" i="5"/>
  <c r="Q926" i="5"/>
  <c r="Q927" i="5"/>
  <c r="Q928" i="5"/>
  <c r="Q929" i="5"/>
  <c r="Q930" i="5"/>
  <c r="Q931" i="5"/>
  <c r="Q932" i="5"/>
  <c r="Q933" i="5"/>
  <c r="Q934" i="5"/>
  <c r="Q935" i="5"/>
  <c r="Q936" i="5"/>
  <c r="Q937" i="5"/>
  <c r="Q938" i="5"/>
  <c r="Q939" i="5"/>
  <c r="Q940" i="5"/>
  <c r="Q941" i="5"/>
  <c r="Q942" i="5"/>
  <c r="Q943" i="5"/>
  <c r="Q944" i="5"/>
  <c r="Q945" i="5"/>
  <c r="Q946" i="5"/>
  <c r="Q947" i="5"/>
  <c r="Q948" i="5"/>
  <c r="Q949" i="5"/>
  <c r="Q950" i="5"/>
  <c r="Q951" i="5"/>
  <c r="Q952" i="5"/>
  <c r="Q953" i="5"/>
  <c r="Q954" i="5"/>
  <c r="Q955" i="5"/>
  <c r="Q956" i="5"/>
  <c r="Q957" i="5"/>
  <c r="Q958" i="5"/>
  <c r="Q959" i="5"/>
  <c r="Q960" i="5"/>
  <c r="Q961" i="5"/>
  <c r="Q962" i="5"/>
  <c r="Q963" i="5"/>
  <c r="Q964" i="5"/>
  <c r="Q965" i="5"/>
  <c r="Q966" i="5"/>
  <c r="Q967" i="5"/>
  <c r="Q968" i="5"/>
  <c r="Q969" i="5"/>
  <c r="Q970" i="5"/>
  <c r="Q971" i="5"/>
  <c r="Q972" i="5"/>
  <c r="Q973" i="5"/>
  <c r="Q974" i="5"/>
  <c r="Q975" i="5"/>
  <c r="Q976" i="5"/>
  <c r="Q977" i="5"/>
  <c r="Q978" i="5"/>
  <c r="Q979" i="5"/>
  <c r="Q980" i="5"/>
  <c r="Q981" i="5"/>
  <c r="Q982" i="5"/>
  <c r="Q983" i="5"/>
  <c r="Q984" i="5"/>
  <c r="Q985" i="5"/>
  <c r="Q986" i="5"/>
  <c r="Q987" i="5"/>
  <c r="Q988" i="5"/>
  <c r="Q989" i="5"/>
  <c r="Q990" i="5"/>
  <c r="Q991" i="5"/>
  <c r="Q992" i="5"/>
  <c r="Q993" i="5"/>
  <c r="Q994" i="5"/>
  <c r="Q995" i="5"/>
  <c r="Q996" i="5"/>
  <c r="Q997" i="5"/>
  <c r="Q998" i="5"/>
  <c r="Q999" i="5"/>
  <c r="Q1000" i="5"/>
  <c r="Q1001" i="5"/>
  <c r="Q1002" i="5"/>
  <c r="Q1003" i="5"/>
  <c r="Q1004" i="5"/>
  <c r="Q1005" i="5"/>
  <c r="Q1006" i="5"/>
  <c r="Q1007" i="5"/>
  <c r="Q1008" i="5"/>
  <c r="Q1009" i="5"/>
  <c r="Q1010" i="5"/>
  <c r="Q1011" i="5"/>
  <c r="Q1012" i="5"/>
  <c r="Q1013" i="5"/>
  <c r="Q1014" i="5"/>
  <c r="Q1015" i="5"/>
  <c r="Q1016" i="5"/>
  <c r="Q1017" i="5"/>
  <c r="Q1018" i="5"/>
  <c r="Q1019" i="5"/>
  <c r="Q1020" i="5"/>
  <c r="Q1021" i="5"/>
  <c r="Q1022" i="5"/>
  <c r="Q1023" i="5"/>
  <c r="Q1024" i="5"/>
  <c r="Q1025" i="5"/>
  <c r="Q1026" i="5"/>
  <c r="Q1027" i="5"/>
  <c r="Q1028" i="5"/>
  <c r="Q1029" i="5"/>
  <c r="Q1030" i="5"/>
  <c r="Q1031" i="5"/>
  <c r="Q1032" i="5"/>
  <c r="Q1033" i="5"/>
  <c r="Q1034" i="5"/>
  <c r="Q1035" i="5"/>
  <c r="Q1036" i="5"/>
  <c r="Q1037" i="5"/>
  <c r="Q1038" i="5"/>
  <c r="Q1039" i="5"/>
  <c r="Q1040" i="5"/>
  <c r="Q1041" i="5"/>
  <c r="Q1042" i="5"/>
  <c r="Q1043" i="5"/>
  <c r="Q1044" i="5"/>
  <c r="Q1045" i="5"/>
  <c r="Q1046" i="5"/>
  <c r="Q1047" i="5"/>
  <c r="Q1048" i="5"/>
  <c r="Q1049" i="5"/>
  <c r="Q1050" i="5"/>
  <c r="Q1051" i="5"/>
  <c r="Q1052" i="5"/>
  <c r="Q1053" i="5"/>
  <c r="Q1054" i="5"/>
  <c r="Q1055" i="5"/>
  <c r="Q1056" i="5"/>
  <c r="Q1057" i="5"/>
  <c r="Q1058" i="5"/>
  <c r="Q1059" i="5"/>
  <c r="Q1060" i="5"/>
  <c r="Q1061" i="5"/>
  <c r="Q1062" i="5"/>
  <c r="Q1063" i="5"/>
  <c r="Q1064" i="5"/>
  <c r="Q1065" i="5"/>
  <c r="Q1066" i="5"/>
  <c r="Q1067" i="5"/>
  <c r="Q1068" i="5"/>
  <c r="Q1069" i="5"/>
  <c r="Q1070" i="5"/>
  <c r="Q1071" i="5"/>
  <c r="Q1072" i="5"/>
  <c r="Q1073" i="5"/>
  <c r="Q1074" i="5"/>
  <c r="Q1075" i="5"/>
  <c r="Q1076" i="5"/>
  <c r="Q1077" i="5"/>
  <c r="Q1078" i="5"/>
  <c r="Q1079" i="5"/>
  <c r="Q1080" i="5"/>
  <c r="Q1081" i="5"/>
  <c r="Q1082" i="5"/>
  <c r="Q1083" i="5"/>
  <c r="Q1084" i="5"/>
  <c r="Q1085" i="5"/>
  <c r="Q1086" i="5"/>
  <c r="Q1087" i="5"/>
  <c r="Q1088" i="5"/>
  <c r="Q1089" i="5"/>
  <c r="Q1090" i="5"/>
  <c r="Q1091" i="5"/>
  <c r="Q1092" i="5"/>
  <c r="Q1093" i="5"/>
  <c r="Q1094" i="5"/>
  <c r="Q1095" i="5"/>
  <c r="Q1096" i="5"/>
  <c r="Q1097" i="5"/>
  <c r="Q1098" i="5"/>
  <c r="Q1099" i="5"/>
  <c r="Q1100" i="5"/>
  <c r="Q1101" i="5"/>
  <c r="Q1102" i="5"/>
  <c r="Q1103" i="5"/>
  <c r="Q1104" i="5"/>
  <c r="Q1105" i="5"/>
  <c r="Q1106" i="5"/>
  <c r="Q1107" i="5"/>
  <c r="Q1108" i="5"/>
  <c r="Q1109" i="5"/>
  <c r="Q1110" i="5"/>
  <c r="Q1111" i="5"/>
  <c r="Q1112" i="5"/>
  <c r="Q1113" i="5"/>
  <c r="Q1114" i="5"/>
  <c r="Q1115" i="5"/>
  <c r="Q1116" i="5"/>
  <c r="Q1117" i="5"/>
  <c r="Q1118" i="5"/>
  <c r="Q1119" i="5"/>
  <c r="Q1120" i="5"/>
  <c r="Q1121" i="5"/>
  <c r="Q1122" i="5"/>
  <c r="Q1123" i="5"/>
  <c r="Q1124" i="5"/>
  <c r="Q1125" i="5"/>
  <c r="Q1126" i="5"/>
  <c r="Q1127" i="5"/>
  <c r="Q1128" i="5"/>
  <c r="Q1129" i="5"/>
  <c r="Q1130" i="5"/>
  <c r="Q1131" i="5"/>
  <c r="Q1132" i="5"/>
  <c r="Q1133" i="5"/>
  <c r="Q1134" i="5"/>
  <c r="Q1135" i="5"/>
  <c r="Q1136" i="5"/>
  <c r="Q1137" i="5"/>
  <c r="Q1138" i="5"/>
  <c r="Q1139" i="5"/>
  <c r="Q1140" i="5"/>
  <c r="Q1141" i="5"/>
  <c r="Q1142" i="5"/>
  <c r="Q1143" i="5"/>
  <c r="Q1144" i="5"/>
  <c r="Q1145" i="5"/>
  <c r="Q1146" i="5"/>
  <c r="Q1147" i="5"/>
  <c r="Q1148" i="5"/>
  <c r="Q1149" i="5"/>
  <c r="Q1150" i="5"/>
  <c r="Q1151" i="5"/>
  <c r="Q1152" i="5"/>
  <c r="Q1153" i="5"/>
  <c r="Q1154" i="5"/>
  <c r="Q1155" i="5"/>
  <c r="Q1156" i="5"/>
  <c r="Q1157" i="5"/>
  <c r="Q1158" i="5"/>
  <c r="Q1159" i="5"/>
  <c r="Q1160" i="5"/>
  <c r="Q1161" i="5"/>
  <c r="Q1162" i="5"/>
  <c r="Q1163" i="5"/>
  <c r="Q1164" i="5"/>
  <c r="Q1165" i="5"/>
  <c r="Q1166" i="5"/>
  <c r="Q1167" i="5"/>
  <c r="Q1168" i="5"/>
  <c r="Q1169" i="5"/>
  <c r="Q1170" i="5"/>
  <c r="Q1171" i="5"/>
  <c r="Q1172" i="5"/>
  <c r="Q1173" i="5"/>
  <c r="Q1174" i="5"/>
  <c r="Q1175" i="5"/>
  <c r="Q1176" i="5"/>
  <c r="Q1177" i="5"/>
  <c r="Q1178" i="5"/>
  <c r="Q1179" i="5"/>
  <c r="Q1180" i="5"/>
  <c r="Q1181" i="5"/>
  <c r="Q1182" i="5"/>
  <c r="Q1183" i="5"/>
  <c r="Q1184" i="5"/>
  <c r="Q1185" i="5"/>
  <c r="Q1186" i="5"/>
  <c r="Q1187" i="5"/>
  <c r="Q1188" i="5"/>
  <c r="Q1189" i="5"/>
  <c r="Q1190" i="5"/>
  <c r="Q1191" i="5"/>
  <c r="Q1192" i="5"/>
  <c r="Q1193" i="5"/>
  <c r="Q1194" i="5"/>
  <c r="Q1195" i="5"/>
  <c r="Q1196" i="5"/>
  <c r="Q1390" i="5"/>
  <c r="Q1198" i="5"/>
  <c r="Q1199" i="5"/>
  <c r="Q1200" i="5"/>
  <c r="Q1201" i="5"/>
  <c r="Q1202" i="5"/>
  <c r="Q1203" i="5"/>
  <c r="Q1204" i="5"/>
  <c r="Q1205" i="5"/>
  <c r="Q1206" i="5"/>
  <c r="Q1207" i="5"/>
  <c r="Q1208" i="5"/>
  <c r="Q1209" i="5"/>
  <c r="Q1210" i="5"/>
  <c r="Q1211" i="5"/>
  <c r="Q1212" i="5"/>
  <c r="Q1213" i="5"/>
  <c r="Q1214" i="5"/>
  <c r="Q1215" i="5"/>
  <c r="Q1216" i="5"/>
  <c r="Q1217" i="5"/>
  <c r="Q1218" i="5"/>
  <c r="Q1219" i="5"/>
  <c r="Q1220" i="5"/>
  <c r="Q1221" i="5"/>
  <c r="Q1222" i="5"/>
  <c r="Q1223" i="5"/>
  <c r="Q1224" i="5"/>
  <c r="Q1225" i="5"/>
  <c r="Q1226" i="5"/>
  <c r="Q1227" i="5"/>
  <c r="Q1228" i="5"/>
  <c r="Q1229" i="5"/>
  <c r="Q1230" i="5"/>
  <c r="Q1231" i="5"/>
  <c r="Q1232" i="5"/>
  <c r="Q1233" i="5"/>
  <c r="Q1234" i="5"/>
  <c r="Q1235" i="5"/>
  <c r="Q1236" i="5"/>
  <c r="Q1237" i="5"/>
  <c r="Q1238" i="5"/>
  <c r="Q1239" i="5"/>
  <c r="Q1240" i="5"/>
  <c r="Q1241" i="5"/>
  <c r="Q1242" i="5"/>
  <c r="Q1243" i="5"/>
  <c r="Q1244" i="5"/>
  <c r="Q1245" i="5"/>
  <c r="Q1246" i="5"/>
  <c r="Q1247" i="5"/>
  <c r="Q1248" i="5"/>
  <c r="Q1249" i="5"/>
  <c r="Q1250" i="5"/>
  <c r="Q1251" i="5"/>
  <c r="Q1252" i="5"/>
  <c r="Q1253" i="5"/>
  <c r="Q1254" i="5"/>
  <c r="Q1255" i="5"/>
  <c r="Q1256" i="5"/>
  <c r="Q1257" i="5"/>
  <c r="Q1258" i="5"/>
  <c r="Q1259" i="5"/>
  <c r="Q1260" i="5"/>
  <c r="Q1261" i="5"/>
  <c r="Q1262" i="5"/>
  <c r="Q1299" i="5"/>
  <c r="Q1300" i="5"/>
  <c r="Q1284" i="5"/>
  <c r="Q1285" i="5"/>
  <c r="Q1286" i="5"/>
  <c r="Q1287" i="5"/>
  <c r="Q1288" i="5"/>
  <c r="Q1274" i="5"/>
  <c r="Q1275" i="5"/>
  <c r="Q1276" i="5"/>
  <c r="Q1277" i="5"/>
  <c r="Q1278" i="5"/>
  <c r="Q1279" i="5"/>
  <c r="Q1280" i="5"/>
  <c r="Q1281" i="5"/>
  <c r="Q1282" i="5"/>
  <c r="Q1283" i="5"/>
  <c r="Q1271" i="5"/>
  <c r="Q1272" i="5"/>
  <c r="Q1273" i="5"/>
  <c r="Q1269" i="5"/>
  <c r="Q1270" i="5"/>
  <c r="Q1267" i="5"/>
  <c r="Q1268" i="5"/>
  <c r="Q1264" i="5"/>
  <c r="Q1265" i="5"/>
  <c r="Q1266" i="5"/>
  <c r="Q662" i="5"/>
  <c r="Q663" i="5"/>
  <c r="Q664" i="5"/>
  <c r="Q665" i="5"/>
  <c r="Q1263" i="5"/>
  <c r="Q655" i="5"/>
  <c r="Q650" i="5"/>
  <c r="Q651" i="5"/>
  <c r="Q652" i="5"/>
  <c r="Q653" i="5"/>
  <c r="Q654" i="5"/>
  <c r="Q1301" i="5"/>
  <c r="Q1302" i="5"/>
  <c r="Q1303" i="5"/>
  <c r="Q1304" i="5"/>
  <c r="Q1305" i="5"/>
  <c r="Q1306" i="5"/>
  <c r="Q1307" i="5"/>
  <c r="Q1308" i="5"/>
  <c r="Q1309" i="5"/>
  <c r="Q1310" i="5"/>
  <c r="Q1311" i="5"/>
  <c r="Q1312" i="5"/>
  <c r="Q1313" i="5"/>
  <c r="Q1314" i="5"/>
  <c r="Q1315" i="5"/>
  <c r="Q1316" i="5"/>
  <c r="Q1317" i="5"/>
  <c r="Q1318" i="5"/>
  <c r="Q1319" i="5"/>
  <c r="Q1320" i="5"/>
  <c r="Q1321" i="5"/>
  <c r="Q1322" i="5"/>
  <c r="Q1323" i="5"/>
  <c r="Q1324" i="5"/>
  <c r="Q1325" i="5"/>
  <c r="Q1326" i="5"/>
  <c r="Q1327" i="5"/>
  <c r="Q1328" i="5"/>
  <c r="Q1329" i="5"/>
  <c r="Q1330" i="5"/>
  <c r="Q1331" i="5"/>
  <c r="Q1332" i="5"/>
  <c r="Q1333" i="5"/>
  <c r="Q1334" i="5"/>
  <c r="Q1335" i="5"/>
  <c r="Q1336" i="5"/>
  <c r="Q1337" i="5"/>
  <c r="Q1338" i="5"/>
  <c r="Q1339" i="5"/>
  <c r="Q1340" i="5"/>
  <c r="Q1341" i="5"/>
  <c r="Q1342" i="5"/>
  <c r="Q1343" i="5"/>
  <c r="Q1344" i="5"/>
  <c r="Q1345" i="5"/>
  <c r="Q1346" i="5"/>
  <c r="Q1347" i="5"/>
  <c r="Q1348" i="5"/>
  <c r="Q1349" i="5"/>
  <c r="Q1350" i="5"/>
  <c r="Q1351" i="5"/>
  <c r="Q1352" i="5"/>
  <c r="Q1353" i="5"/>
  <c r="Q1354" i="5"/>
  <c r="Q1355" i="5"/>
  <c r="Q1356" i="5"/>
  <c r="Q1357" i="5"/>
  <c r="Q1358" i="5"/>
  <c r="Q1359" i="5"/>
  <c r="Q1360" i="5"/>
  <c r="Q1361" i="5"/>
  <c r="Q1362" i="5"/>
  <c r="Q1363" i="5"/>
  <c r="Q1364" i="5"/>
  <c r="Q1365" i="5"/>
  <c r="Q1366" i="5"/>
  <c r="Q1367" i="5"/>
  <c r="R855" i="5"/>
  <c r="R856" i="5"/>
  <c r="R857" i="5"/>
  <c r="R858" i="5"/>
  <c r="R859" i="5"/>
  <c r="R860" i="5"/>
  <c r="R861" i="5"/>
  <c r="R862" i="5"/>
  <c r="R863" i="5"/>
  <c r="R864" i="5"/>
  <c r="R865" i="5"/>
  <c r="R866" i="5"/>
  <c r="R867" i="5"/>
  <c r="R868" i="5"/>
  <c r="R869" i="5"/>
  <c r="R870" i="5"/>
  <c r="R871" i="5"/>
  <c r="R872" i="5"/>
  <c r="R873" i="5"/>
  <c r="R874" i="5"/>
  <c r="R875" i="5"/>
  <c r="R876" i="5"/>
  <c r="R877" i="5"/>
  <c r="R878" i="5"/>
  <c r="R879" i="5"/>
  <c r="R880" i="5"/>
  <c r="R881" i="5"/>
  <c r="R882" i="5"/>
  <c r="R883" i="5"/>
  <c r="R884" i="5"/>
  <c r="R885" i="5"/>
  <c r="R886" i="5"/>
  <c r="R887" i="5"/>
  <c r="R888" i="5"/>
  <c r="R889" i="5"/>
  <c r="R890" i="5"/>
  <c r="R891" i="5"/>
  <c r="R892" i="5"/>
  <c r="R893" i="5"/>
  <c r="R894" i="5"/>
  <c r="R895" i="5"/>
  <c r="R896" i="5"/>
  <c r="R897" i="5"/>
  <c r="R898" i="5"/>
  <c r="R899" i="5"/>
  <c r="R900" i="5"/>
  <c r="R901" i="5"/>
  <c r="R902" i="5"/>
  <c r="R903" i="5"/>
  <c r="R904" i="5"/>
  <c r="R905" i="5"/>
  <c r="R906" i="5"/>
  <c r="R907" i="5"/>
  <c r="R908" i="5"/>
  <c r="R909" i="5"/>
  <c r="R910" i="5"/>
  <c r="R911" i="5"/>
  <c r="R912" i="5"/>
  <c r="R913" i="5"/>
  <c r="R914" i="5"/>
  <c r="R915" i="5"/>
  <c r="R916" i="5"/>
  <c r="R917" i="5"/>
  <c r="R918" i="5"/>
  <c r="R919" i="5"/>
  <c r="R920" i="5"/>
  <c r="R921" i="5"/>
  <c r="R922" i="5"/>
  <c r="R923" i="5"/>
  <c r="R924" i="5"/>
  <c r="R925" i="5"/>
  <c r="R926" i="5"/>
  <c r="R927" i="5"/>
  <c r="R928" i="5"/>
  <c r="R929" i="5"/>
  <c r="R930" i="5"/>
  <c r="R931" i="5"/>
  <c r="R932" i="5"/>
  <c r="R933" i="5"/>
  <c r="R934" i="5"/>
  <c r="R935" i="5"/>
  <c r="R936" i="5"/>
  <c r="R937" i="5"/>
  <c r="R938" i="5"/>
  <c r="R939" i="5"/>
  <c r="R940" i="5"/>
  <c r="R941" i="5"/>
  <c r="R942" i="5"/>
  <c r="R943" i="5"/>
  <c r="R944" i="5"/>
  <c r="R945" i="5"/>
  <c r="R946" i="5"/>
  <c r="R947" i="5"/>
  <c r="R948" i="5"/>
  <c r="R949" i="5"/>
  <c r="R950" i="5"/>
  <c r="R951" i="5"/>
  <c r="R952" i="5"/>
  <c r="R953" i="5"/>
  <c r="R954" i="5"/>
  <c r="R955" i="5"/>
  <c r="R956" i="5"/>
  <c r="R957" i="5"/>
  <c r="R958" i="5"/>
  <c r="R959" i="5"/>
  <c r="R960" i="5"/>
  <c r="R961" i="5"/>
  <c r="R962" i="5"/>
  <c r="R963" i="5"/>
  <c r="R964" i="5"/>
  <c r="R965" i="5"/>
  <c r="R966" i="5"/>
  <c r="R967" i="5"/>
  <c r="R968" i="5"/>
  <c r="R969" i="5"/>
  <c r="R970" i="5"/>
  <c r="R971" i="5"/>
  <c r="R972" i="5"/>
  <c r="R973" i="5"/>
  <c r="R974" i="5"/>
  <c r="R975" i="5"/>
  <c r="R976" i="5"/>
  <c r="R977" i="5"/>
  <c r="R978" i="5"/>
  <c r="R979" i="5"/>
  <c r="R980" i="5"/>
  <c r="R981" i="5"/>
  <c r="R982" i="5"/>
  <c r="R983" i="5"/>
  <c r="R984" i="5"/>
  <c r="R985" i="5"/>
  <c r="R986" i="5"/>
  <c r="R987" i="5"/>
  <c r="R988" i="5"/>
  <c r="R989" i="5"/>
  <c r="R990" i="5"/>
  <c r="R991" i="5"/>
  <c r="R992" i="5"/>
  <c r="R993" i="5"/>
  <c r="R994" i="5"/>
  <c r="R995" i="5"/>
  <c r="R996" i="5"/>
  <c r="R997" i="5"/>
  <c r="R998" i="5"/>
  <c r="R999" i="5"/>
  <c r="R1000" i="5"/>
  <c r="R1001" i="5"/>
  <c r="R1002" i="5"/>
  <c r="R1003" i="5"/>
  <c r="R1004" i="5"/>
  <c r="R1005" i="5"/>
  <c r="R1006" i="5"/>
  <c r="R1007" i="5"/>
  <c r="R1008" i="5"/>
  <c r="R1009" i="5"/>
  <c r="R1010" i="5"/>
  <c r="R1011" i="5"/>
  <c r="R1012" i="5"/>
  <c r="R1013" i="5"/>
  <c r="R1014" i="5"/>
  <c r="R1015" i="5"/>
  <c r="R1016" i="5"/>
  <c r="R1017" i="5"/>
  <c r="R1018" i="5"/>
  <c r="R1019" i="5"/>
  <c r="R1020" i="5"/>
  <c r="R1021" i="5"/>
  <c r="R1022" i="5"/>
  <c r="R1023" i="5"/>
  <c r="R1024" i="5"/>
  <c r="R1025" i="5"/>
  <c r="R1026" i="5"/>
  <c r="R1027" i="5"/>
  <c r="R1028" i="5"/>
  <c r="R1029" i="5"/>
  <c r="R1030" i="5"/>
  <c r="R1031" i="5"/>
  <c r="R1032" i="5"/>
  <c r="R1033" i="5"/>
  <c r="R1034" i="5"/>
  <c r="R1035" i="5"/>
  <c r="R1036" i="5"/>
  <c r="R1037" i="5"/>
  <c r="R1038" i="5"/>
  <c r="R1039" i="5"/>
  <c r="R1040" i="5"/>
  <c r="R1041" i="5"/>
  <c r="R1042" i="5"/>
  <c r="R1043" i="5"/>
  <c r="R1044" i="5"/>
  <c r="R1045" i="5"/>
  <c r="R1046" i="5"/>
  <c r="R1047" i="5"/>
  <c r="R1048" i="5"/>
  <c r="R1049" i="5"/>
  <c r="R1050" i="5"/>
  <c r="R1051" i="5"/>
  <c r="R1052" i="5"/>
  <c r="R1053" i="5"/>
  <c r="R1054" i="5"/>
  <c r="R1055" i="5"/>
  <c r="R1056" i="5"/>
  <c r="R1057" i="5"/>
  <c r="R1058" i="5"/>
  <c r="R1059" i="5"/>
  <c r="R1060" i="5"/>
  <c r="R1061" i="5"/>
  <c r="R1062" i="5"/>
  <c r="R1063" i="5"/>
  <c r="R1064" i="5"/>
  <c r="R1065" i="5"/>
  <c r="R1066" i="5"/>
  <c r="R1067" i="5"/>
  <c r="R1068" i="5"/>
  <c r="R1069" i="5"/>
  <c r="R1070" i="5"/>
  <c r="R1071" i="5"/>
  <c r="R1072" i="5"/>
  <c r="R1073" i="5"/>
  <c r="R1074" i="5"/>
  <c r="R1075" i="5"/>
  <c r="R1076" i="5"/>
  <c r="R1077" i="5"/>
  <c r="R1078" i="5"/>
  <c r="R1079" i="5"/>
  <c r="R1080" i="5"/>
  <c r="R1081" i="5"/>
  <c r="R1082" i="5"/>
  <c r="R1083" i="5"/>
  <c r="R1084" i="5"/>
  <c r="R1085" i="5"/>
  <c r="R1086" i="5"/>
  <c r="R1087" i="5"/>
  <c r="R1088" i="5"/>
  <c r="R1089" i="5"/>
  <c r="R1090" i="5"/>
  <c r="R1091" i="5"/>
  <c r="R1092" i="5"/>
  <c r="R1093" i="5"/>
  <c r="R1094" i="5"/>
  <c r="R1095" i="5"/>
  <c r="R1096" i="5"/>
  <c r="R1097" i="5"/>
  <c r="R1098" i="5"/>
  <c r="R1099" i="5"/>
  <c r="R1100" i="5"/>
  <c r="R1101" i="5"/>
  <c r="R1102" i="5"/>
  <c r="R1103" i="5"/>
  <c r="R1104" i="5"/>
  <c r="R1105" i="5"/>
  <c r="R1106" i="5"/>
  <c r="R1107" i="5"/>
  <c r="R1108" i="5"/>
  <c r="R1109" i="5"/>
  <c r="R1110" i="5"/>
  <c r="R1111" i="5"/>
  <c r="R1112" i="5"/>
  <c r="R1113" i="5"/>
  <c r="R1114" i="5"/>
  <c r="R1115" i="5"/>
  <c r="R1116" i="5"/>
  <c r="R1117" i="5"/>
  <c r="R1118" i="5"/>
  <c r="R1119" i="5"/>
  <c r="R1120" i="5"/>
  <c r="R1121" i="5"/>
  <c r="R1122" i="5"/>
  <c r="R1123" i="5"/>
  <c r="R1124" i="5"/>
  <c r="R1125" i="5"/>
  <c r="R1126" i="5"/>
  <c r="R1127" i="5"/>
  <c r="R1128" i="5"/>
  <c r="R1129" i="5"/>
  <c r="R1130" i="5"/>
  <c r="R1131" i="5"/>
  <c r="R1132" i="5"/>
  <c r="R1133" i="5"/>
  <c r="R1134" i="5"/>
  <c r="R1135" i="5"/>
  <c r="R1136" i="5"/>
  <c r="R1137" i="5"/>
  <c r="R1138" i="5"/>
  <c r="R1139" i="5"/>
  <c r="R1140" i="5"/>
  <c r="R1141" i="5"/>
  <c r="R1142" i="5"/>
  <c r="R1143" i="5"/>
  <c r="R1144" i="5"/>
  <c r="R1145" i="5"/>
  <c r="R1146" i="5"/>
  <c r="R1147" i="5"/>
  <c r="R1148" i="5"/>
  <c r="R1149" i="5"/>
  <c r="R1150" i="5"/>
  <c r="R1151" i="5"/>
  <c r="R1152" i="5"/>
  <c r="R1153" i="5"/>
  <c r="R1154" i="5"/>
  <c r="R1155" i="5"/>
  <c r="R1156" i="5"/>
  <c r="R1157" i="5"/>
  <c r="R1158" i="5"/>
  <c r="R1159" i="5"/>
  <c r="R1160" i="5"/>
  <c r="R1161" i="5"/>
  <c r="R1162" i="5"/>
  <c r="R1163" i="5"/>
  <c r="R1164" i="5"/>
  <c r="R1165" i="5"/>
  <c r="R1166" i="5"/>
  <c r="R1167" i="5"/>
  <c r="R1168" i="5"/>
  <c r="R1169" i="5"/>
  <c r="R1170" i="5"/>
  <c r="R1171" i="5"/>
  <c r="R1172" i="5"/>
  <c r="R1173" i="5"/>
  <c r="R1174" i="5"/>
  <c r="R1175" i="5"/>
  <c r="R1176" i="5"/>
  <c r="R1177" i="5"/>
  <c r="R1178" i="5"/>
  <c r="R1179" i="5"/>
  <c r="R1180" i="5"/>
  <c r="R1181" i="5"/>
  <c r="R1182" i="5"/>
  <c r="R1183" i="5"/>
  <c r="R1184" i="5"/>
  <c r="R1185" i="5"/>
  <c r="R1186" i="5"/>
  <c r="R1187" i="5"/>
  <c r="R1188" i="5"/>
  <c r="R1189" i="5"/>
  <c r="R1190" i="5"/>
  <c r="R1191" i="5"/>
  <c r="R1192" i="5"/>
  <c r="R1193" i="5"/>
  <c r="R1194" i="5"/>
  <c r="R1195" i="5"/>
  <c r="R1196" i="5"/>
  <c r="R1390" i="5"/>
  <c r="R1198" i="5"/>
  <c r="R1199" i="5"/>
  <c r="R1200" i="5"/>
  <c r="R1201" i="5"/>
  <c r="R1202" i="5"/>
  <c r="R1203" i="5"/>
  <c r="R1204" i="5"/>
  <c r="R1205" i="5"/>
  <c r="R1206" i="5"/>
  <c r="R1207" i="5"/>
  <c r="R1208" i="5"/>
  <c r="R1209" i="5"/>
  <c r="R1210" i="5"/>
  <c r="R1211" i="5"/>
  <c r="R1212" i="5"/>
  <c r="R1213" i="5"/>
  <c r="R1214" i="5"/>
  <c r="R1215" i="5"/>
  <c r="R1216" i="5"/>
  <c r="R1217" i="5"/>
  <c r="R1218" i="5"/>
  <c r="R1219" i="5"/>
  <c r="R1220" i="5"/>
  <c r="R1221" i="5"/>
  <c r="R1222" i="5"/>
  <c r="R1223" i="5"/>
  <c r="R1224" i="5"/>
  <c r="R1225" i="5"/>
  <c r="R1226" i="5"/>
  <c r="R1227" i="5"/>
  <c r="R1228" i="5"/>
  <c r="R1229" i="5"/>
  <c r="R1230" i="5"/>
  <c r="R1231" i="5"/>
  <c r="R1232" i="5"/>
  <c r="R1233" i="5"/>
  <c r="R1234" i="5"/>
  <c r="R1235" i="5"/>
  <c r="R1236" i="5"/>
  <c r="R1237" i="5"/>
  <c r="R1238" i="5"/>
  <c r="R1239" i="5"/>
  <c r="R1240" i="5"/>
  <c r="R1241" i="5"/>
  <c r="R1242" i="5"/>
  <c r="R1243" i="5"/>
  <c r="R1244" i="5"/>
  <c r="R1245" i="5"/>
  <c r="R1246" i="5"/>
  <c r="R1247" i="5"/>
  <c r="R1248" i="5"/>
  <c r="R1249" i="5"/>
  <c r="R1250" i="5"/>
  <c r="R1251" i="5"/>
  <c r="R1252" i="5"/>
  <c r="R1253" i="5"/>
  <c r="R1254" i="5"/>
  <c r="R1255" i="5"/>
  <c r="R1256" i="5"/>
  <c r="R1257" i="5"/>
  <c r="R1258" i="5"/>
  <c r="R1259" i="5"/>
  <c r="R1260" i="5"/>
  <c r="R1261" i="5"/>
  <c r="R1262" i="5"/>
  <c r="R1299" i="5"/>
  <c r="R1300" i="5"/>
  <c r="R1284" i="5"/>
  <c r="R1285" i="5"/>
  <c r="R1286" i="5"/>
  <c r="R1287" i="5"/>
  <c r="R1288" i="5"/>
  <c r="R1274" i="5"/>
  <c r="R1275" i="5"/>
  <c r="R1276" i="5"/>
  <c r="R1277" i="5"/>
  <c r="R1278" i="5"/>
  <c r="R1279" i="5"/>
  <c r="R1280" i="5"/>
  <c r="R1281" i="5"/>
  <c r="R1282" i="5"/>
  <c r="R1283" i="5"/>
  <c r="R1271" i="5"/>
  <c r="R1272" i="5"/>
  <c r="R1273" i="5"/>
  <c r="R1269" i="5"/>
  <c r="R1270" i="5"/>
  <c r="R1267" i="5"/>
  <c r="R1268" i="5"/>
  <c r="R1264" i="5"/>
  <c r="R1265" i="5"/>
  <c r="R1266" i="5"/>
  <c r="R662" i="5"/>
  <c r="R663" i="5"/>
  <c r="R664" i="5"/>
  <c r="R665" i="5"/>
  <c r="R1263" i="5"/>
  <c r="R655" i="5"/>
  <c r="R650" i="5"/>
  <c r="R651" i="5"/>
  <c r="R652" i="5"/>
  <c r="R653" i="5"/>
  <c r="R654" i="5"/>
  <c r="R1301" i="5"/>
  <c r="R1302" i="5"/>
  <c r="R1303" i="5"/>
  <c r="R1304" i="5"/>
  <c r="R1305" i="5"/>
  <c r="R1306" i="5"/>
  <c r="R1307" i="5"/>
  <c r="R1308" i="5"/>
  <c r="R1309" i="5"/>
  <c r="R1310" i="5"/>
  <c r="R1311" i="5"/>
  <c r="R1312" i="5"/>
  <c r="R1313" i="5"/>
  <c r="R1314" i="5"/>
  <c r="R1315" i="5"/>
  <c r="R1316" i="5"/>
  <c r="R1317" i="5"/>
  <c r="R1318" i="5"/>
  <c r="R1319" i="5"/>
  <c r="R1320" i="5"/>
  <c r="R1321" i="5"/>
  <c r="R1322" i="5"/>
  <c r="R1323" i="5"/>
  <c r="R1324" i="5"/>
  <c r="R1325" i="5"/>
  <c r="R1326" i="5"/>
  <c r="R1327" i="5"/>
  <c r="R1328" i="5"/>
  <c r="R1329" i="5"/>
  <c r="R1330" i="5"/>
  <c r="R1331" i="5"/>
  <c r="R1332" i="5"/>
  <c r="R1333" i="5"/>
  <c r="R1334" i="5"/>
  <c r="R1335" i="5"/>
  <c r="R1336" i="5"/>
  <c r="R1337" i="5"/>
  <c r="R1338" i="5"/>
  <c r="R1339" i="5"/>
  <c r="R1340" i="5"/>
  <c r="R1341" i="5"/>
  <c r="R1342" i="5"/>
  <c r="R1343" i="5"/>
  <c r="R1344" i="5"/>
  <c r="R1345" i="5"/>
  <c r="R1346" i="5"/>
  <c r="R1347" i="5"/>
  <c r="R1348" i="5"/>
  <c r="R1349" i="5"/>
  <c r="R1350" i="5"/>
  <c r="R1351" i="5"/>
  <c r="R1352" i="5"/>
  <c r="R1353" i="5"/>
  <c r="R1354" i="5"/>
  <c r="R1355" i="5"/>
  <c r="R1356" i="5"/>
  <c r="R1357" i="5"/>
  <c r="R1358" i="5"/>
  <c r="R1359" i="5"/>
  <c r="R1360" i="5"/>
  <c r="R1361" i="5"/>
  <c r="R1362" i="5"/>
  <c r="R1363" i="5"/>
  <c r="R1364" i="5"/>
  <c r="R1365" i="5"/>
  <c r="R1366" i="5"/>
  <c r="R1367" i="5"/>
  <c r="U855" i="5"/>
  <c r="U856" i="5"/>
  <c r="U857" i="5"/>
  <c r="U858" i="5"/>
  <c r="U859" i="5"/>
  <c r="U860" i="5"/>
  <c r="U861" i="5"/>
  <c r="U862" i="5"/>
  <c r="U863" i="5"/>
  <c r="U864" i="5"/>
  <c r="U865" i="5"/>
  <c r="U866" i="5"/>
  <c r="U867" i="5"/>
  <c r="U868" i="5"/>
  <c r="U869" i="5"/>
  <c r="U870" i="5"/>
  <c r="U871" i="5"/>
  <c r="U872" i="5"/>
  <c r="U873" i="5"/>
  <c r="U874" i="5"/>
  <c r="U875" i="5"/>
  <c r="U876" i="5"/>
  <c r="U877" i="5"/>
  <c r="U878" i="5"/>
  <c r="U879" i="5"/>
  <c r="U880" i="5"/>
  <c r="U881" i="5"/>
  <c r="U882" i="5"/>
  <c r="U883" i="5"/>
  <c r="U884" i="5"/>
  <c r="U885" i="5"/>
  <c r="U886" i="5"/>
  <c r="U887" i="5"/>
  <c r="U888" i="5"/>
  <c r="U889" i="5"/>
  <c r="U890" i="5"/>
  <c r="U891" i="5"/>
  <c r="U892" i="5"/>
  <c r="U893" i="5"/>
  <c r="U894" i="5"/>
  <c r="U895" i="5"/>
  <c r="U896" i="5"/>
  <c r="U897" i="5"/>
  <c r="U898" i="5"/>
  <c r="U899" i="5"/>
  <c r="U900" i="5"/>
  <c r="U901" i="5"/>
  <c r="U902" i="5"/>
  <c r="U903" i="5"/>
  <c r="U904" i="5"/>
  <c r="U905" i="5"/>
  <c r="U906" i="5"/>
  <c r="U907" i="5"/>
  <c r="U908" i="5"/>
  <c r="U909" i="5"/>
  <c r="U910" i="5"/>
  <c r="U911" i="5"/>
  <c r="U912" i="5"/>
  <c r="U913" i="5"/>
  <c r="U914" i="5"/>
  <c r="U915" i="5"/>
  <c r="U916" i="5"/>
  <c r="U917" i="5"/>
  <c r="U918" i="5"/>
  <c r="U919" i="5"/>
  <c r="U920" i="5"/>
  <c r="U921" i="5"/>
  <c r="U922" i="5"/>
  <c r="U923" i="5"/>
  <c r="U924" i="5"/>
  <c r="U925" i="5"/>
  <c r="U926" i="5"/>
  <c r="U927" i="5"/>
  <c r="U928" i="5"/>
  <c r="U929" i="5"/>
  <c r="U930" i="5"/>
  <c r="U931" i="5"/>
  <c r="U932" i="5"/>
  <c r="U933" i="5"/>
  <c r="U934" i="5"/>
  <c r="U935" i="5"/>
  <c r="U936" i="5"/>
  <c r="U937" i="5"/>
  <c r="U938" i="5"/>
  <c r="U939" i="5"/>
  <c r="U940" i="5"/>
  <c r="U941" i="5"/>
  <c r="U942" i="5"/>
  <c r="U943" i="5"/>
  <c r="U944" i="5"/>
  <c r="U945" i="5"/>
  <c r="U946" i="5"/>
  <c r="U947" i="5"/>
  <c r="U948" i="5"/>
  <c r="U949" i="5"/>
  <c r="U950" i="5"/>
  <c r="U951" i="5"/>
  <c r="U952" i="5"/>
  <c r="U953" i="5"/>
  <c r="U954" i="5"/>
  <c r="U955" i="5"/>
  <c r="U956" i="5"/>
  <c r="U957" i="5"/>
  <c r="U958" i="5"/>
  <c r="U959" i="5"/>
  <c r="U960" i="5"/>
  <c r="U961" i="5"/>
  <c r="U962" i="5"/>
  <c r="U963" i="5"/>
  <c r="U964" i="5"/>
  <c r="U965" i="5"/>
  <c r="U966" i="5"/>
  <c r="U967" i="5"/>
  <c r="U968" i="5"/>
  <c r="U969" i="5"/>
  <c r="U970" i="5"/>
  <c r="U971" i="5"/>
  <c r="U972" i="5"/>
  <c r="U973" i="5"/>
  <c r="U974" i="5"/>
  <c r="U975" i="5"/>
  <c r="U976" i="5"/>
  <c r="U977" i="5"/>
  <c r="U978" i="5"/>
  <c r="U979" i="5"/>
  <c r="U980" i="5"/>
  <c r="U981" i="5"/>
  <c r="U982" i="5"/>
  <c r="U983" i="5"/>
  <c r="U984" i="5"/>
  <c r="U985" i="5"/>
  <c r="U986" i="5"/>
  <c r="U987" i="5"/>
  <c r="U988" i="5"/>
  <c r="U989" i="5"/>
  <c r="U990" i="5"/>
  <c r="U991" i="5"/>
  <c r="U992" i="5"/>
  <c r="U993" i="5"/>
  <c r="U994" i="5"/>
  <c r="U995" i="5"/>
  <c r="U996" i="5"/>
  <c r="U997" i="5"/>
  <c r="U998" i="5"/>
  <c r="U999" i="5"/>
  <c r="U1000" i="5"/>
  <c r="U1001" i="5"/>
  <c r="U1002" i="5"/>
  <c r="U1003" i="5"/>
  <c r="U1004" i="5"/>
  <c r="U1005" i="5"/>
  <c r="U1006" i="5"/>
  <c r="U1007" i="5"/>
  <c r="U1008" i="5"/>
  <c r="U1009" i="5"/>
  <c r="U1010" i="5"/>
  <c r="U1011" i="5"/>
  <c r="U1012" i="5"/>
  <c r="U1013" i="5"/>
  <c r="U1014" i="5"/>
  <c r="U1015" i="5"/>
  <c r="U1016" i="5"/>
  <c r="U1017" i="5"/>
  <c r="U1018" i="5"/>
  <c r="U1019" i="5"/>
  <c r="U1020" i="5"/>
  <c r="U1021" i="5"/>
  <c r="U1022" i="5"/>
  <c r="U1023" i="5"/>
  <c r="U1024" i="5"/>
  <c r="U1025" i="5"/>
  <c r="U1026" i="5"/>
  <c r="U1027" i="5"/>
  <c r="U1028" i="5"/>
  <c r="U1029" i="5"/>
  <c r="U1030" i="5"/>
  <c r="U1031" i="5"/>
  <c r="U1032" i="5"/>
  <c r="U1033" i="5"/>
  <c r="U1034" i="5"/>
  <c r="U1035" i="5"/>
  <c r="U1036" i="5"/>
  <c r="U1037" i="5"/>
  <c r="U1038" i="5"/>
  <c r="U1039" i="5"/>
  <c r="U1040" i="5"/>
  <c r="U1041" i="5"/>
  <c r="U1042" i="5"/>
  <c r="U1043" i="5"/>
  <c r="U1044" i="5"/>
  <c r="U1045" i="5"/>
  <c r="U1046" i="5"/>
  <c r="U1047" i="5"/>
  <c r="U1048" i="5"/>
  <c r="U1049" i="5"/>
  <c r="U1050" i="5"/>
  <c r="U1051" i="5"/>
  <c r="U1052" i="5"/>
  <c r="U1053" i="5"/>
  <c r="U1054" i="5"/>
  <c r="U1055" i="5"/>
  <c r="U1056" i="5"/>
  <c r="U1057" i="5"/>
  <c r="U1058" i="5"/>
  <c r="U1059" i="5"/>
  <c r="U1060" i="5"/>
  <c r="U1061" i="5"/>
  <c r="U1062" i="5"/>
  <c r="U1063" i="5"/>
  <c r="U1064" i="5"/>
  <c r="U1065" i="5"/>
  <c r="U1066" i="5"/>
  <c r="U1067" i="5"/>
  <c r="U1068" i="5"/>
  <c r="U1069" i="5"/>
  <c r="U1070" i="5"/>
  <c r="U1071" i="5"/>
  <c r="U1072" i="5"/>
  <c r="U1073" i="5"/>
  <c r="U1074" i="5"/>
  <c r="U1075" i="5"/>
  <c r="U1076" i="5"/>
  <c r="U1077" i="5"/>
  <c r="U1078" i="5"/>
  <c r="U1079" i="5"/>
  <c r="U1080" i="5"/>
  <c r="U1081" i="5"/>
  <c r="U1082" i="5"/>
  <c r="U1083" i="5"/>
  <c r="U1084" i="5"/>
  <c r="U1085" i="5"/>
  <c r="U1086" i="5"/>
  <c r="U1087" i="5"/>
  <c r="U1088" i="5"/>
  <c r="U1089" i="5"/>
  <c r="U1090" i="5"/>
  <c r="U1091" i="5"/>
  <c r="U1092" i="5"/>
  <c r="U1093" i="5"/>
  <c r="U1094" i="5"/>
  <c r="U1095" i="5"/>
  <c r="U1096" i="5"/>
  <c r="U1097" i="5"/>
  <c r="U1098" i="5"/>
  <c r="U1099" i="5"/>
  <c r="U1100" i="5"/>
  <c r="U1101" i="5"/>
  <c r="U1102" i="5"/>
  <c r="U1103" i="5"/>
  <c r="U1104" i="5"/>
  <c r="U1105" i="5"/>
  <c r="U1106" i="5"/>
  <c r="U1107" i="5"/>
  <c r="U1108" i="5"/>
  <c r="U1109" i="5"/>
  <c r="U1110" i="5"/>
  <c r="U1111" i="5"/>
  <c r="U1112" i="5"/>
  <c r="U1113" i="5"/>
  <c r="U1114" i="5"/>
  <c r="U1115" i="5"/>
  <c r="U1116" i="5"/>
  <c r="U1117" i="5"/>
  <c r="U1118" i="5"/>
  <c r="U1119" i="5"/>
  <c r="U1120" i="5"/>
  <c r="U1121" i="5"/>
  <c r="U1122" i="5"/>
  <c r="U1123" i="5"/>
  <c r="U1124" i="5"/>
  <c r="U1125" i="5"/>
  <c r="U1126" i="5"/>
  <c r="U1127" i="5"/>
  <c r="U1128" i="5"/>
  <c r="U1129" i="5"/>
  <c r="U1130" i="5"/>
  <c r="U1131" i="5"/>
  <c r="U1132" i="5"/>
  <c r="U1133" i="5"/>
  <c r="U1134" i="5"/>
  <c r="U1135" i="5"/>
  <c r="U1136" i="5"/>
  <c r="U1137" i="5"/>
  <c r="U1138" i="5"/>
  <c r="U1139" i="5"/>
  <c r="U1140" i="5"/>
  <c r="U1141" i="5"/>
  <c r="U1142" i="5"/>
  <c r="U1143" i="5"/>
  <c r="U1144" i="5"/>
  <c r="U1145" i="5"/>
  <c r="U1146" i="5"/>
  <c r="U1147" i="5"/>
  <c r="U1148" i="5"/>
  <c r="U1149" i="5"/>
  <c r="U1150" i="5"/>
  <c r="U1151" i="5"/>
  <c r="U1152" i="5"/>
  <c r="U1153" i="5"/>
  <c r="U1154" i="5"/>
  <c r="U1155" i="5"/>
  <c r="U1156" i="5"/>
  <c r="U1157" i="5"/>
  <c r="U1158" i="5"/>
  <c r="U1159" i="5"/>
  <c r="U1160" i="5"/>
  <c r="U1161" i="5"/>
  <c r="U1162" i="5"/>
  <c r="U1163" i="5"/>
  <c r="U1164" i="5"/>
  <c r="U1165" i="5"/>
  <c r="U1166" i="5"/>
  <c r="U1167" i="5"/>
  <c r="U1168" i="5"/>
  <c r="U1169" i="5"/>
  <c r="U1170" i="5"/>
  <c r="U1171" i="5"/>
  <c r="U1172" i="5"/>
  <c r="U1173" i="5"/>
  <c r="U1174" i="5"/>
  <c r="U1175" i="5"/>
  <c r="U1176" i="5"/>
  <c r="U1177" i="5"/>
  <c r="U1178" i="5"/>
  <c r="U1179" i="5"/>
  <c r="U1180" i="5"/>
  <c r="U1181" i="5"/>
  <c r="U1182" i="5"/>
  <c r="U1183" i="5"/>
  <c r="U1184" i="5"/>
  <c r="U1185" i="5"/>
  <c r="U1186" i="5"/>
  <c r="U1187" i="5"/>
  <c r="U1188" i="5"/>
  <c r="U1189" i="5"/>
  <c r="U1190" i="5"/>
  <c r="U1191" i="5"/>
  <c r="U1192" i="5"/>
  <c r="U1193" i="5"/>
  <c r="U1194" i="5"/>
  <c r="U1195" i="5"/>
  <c r="U1196" i="5"/>
  <c r="U1390" i="5"/>
  <c r="U1198" i="5"/>
  <c r="U1199" i="5"/>
  <c r="U1200" i="5"/>
  <c r="U1201" i="5"/>
  <c r="U1202" i="5"/>
  <c r="U1203" i="5"/>
  <c r="U1204" i="5"/>
  <c r="U1205" i="5"/>
  <c r="U1206" i="5"/>
  <c r="U1207" i="5"/>
  <c r="U1208" i="5"/>
  <c r="U1209" i="5"/>
  <c r="U1210" i="5"/>
  <c r="U1211" i="5"/>
  <c r="U1212" i="5"/>
  <c r="U1213" i="5"/>
  <c r="U1214" i="5"/>
  <c r="U1215" i="5"/>
  <c r="U1216" i="5"/>
  <c r="U1217" i="5"/>
  <c r="U1218" i="5"/>
  <c r="U1219" i="5"/>
  <c r="U1220" i="5"/>
  <c r="U1221" i="5"/>
  <c r="U1222" i="5"/>
  <c r="U1223" i="5"/>
  <c r="U1224" i="5"/>
  <c r="U1225" i="5"/>
  <c r="U1226" i="5"/>
  <c r="U1227" i="5"/>
  <c r="U1228" i="5"/>
  <c r="U1229" i="5"/>
  <c r="U1230" i="5"/>
  <c r="U1231" i="5"/>
  <c r="U1232" i="5"/>
  <c r="U1233" i="5"/>
  <c r="U1234" i="5"/>
  <c r="U1235" i="5"/>
  <c r="U1236" i="5"/>
  <c r="U1237" i="5"/>
  <c r="U1238" i="5"/>
  <c r="U1239" i="5"/>
  <c r="U1240" i="5"/>
  <c r="U1241" i="5"/>
  <c r="U1242" i="5"/>
  <c r="U1243" i="5"/>
  <c r="U1244" i="5"/>
  <c r="U1245" i="5"/>
  <c r="U1246" i="5"/>
  <c r="U1247" i="5"/>
  <c r="U1248" i="5"/>
  <c r="U1249" i="5"/>
  <c r="U1250" i="5"/>
  <c r="U1251" i="5"/>
  <c r="U1252" i="5"/>
  <c r="U1253" i="5"/>
  <c r="U1254" i="5"/>
  <c r="U1255" i="5"/>
  <c r="U1256" i="5"/>
  <c r="U1257" i="5"/>
  <c r="U1258" i="5"/>
  <c r="U1259" i="5"/>
  <c r="U1260" i="5"/>
  <c r="U1261" i="5"/>
  <c r="U1262" i="5"/>
  <c r="U1299" i="5"/>
  <c r="U1300" i="5"/>
  <c r="U1284" i="5"/>
  <c r="U1285" i="5"/>
  <c r="U1286" i="5"/>
  <c r="U1287" i="5"/>
  <c r="U1288" i="5"/>
  <c r="U1274" i="5"/>
  <c r="U1275" i="5"/>
  <c r="U1276" i="5"/>
  <c r="U1277" i="5"/>
  <c r="U1278" i="5"/>
  <c r="U1279" i="5"/>
  <c r="U1280" i="5"/>
  <c r="U1281" i="5"/>
  <c r="U1282" i="5"/>
  <c r="U1283" i="5"/>
  <c r="U1271" i="5"/>
  <c r="U1272" i="5"/>
  <c r="U1273" i="5"/>
  <c r="U1269" i="5"/>
  <c r="U1270" i="5"/>
  <c r="U1267" i="5"/>
  <c r="U1268" i="5"/>
  <c r="U1264" i="5"/>
  <c r="U1265" i="5"/>
  <c r="U1266" i="5"/>
  <c r="U662" i="5"/>
  <c r="U663" i="5"/>
  <c r="U664" i="5"/>
  <c r="U665" i="5"/>
  <c r="U1263" i="5"/>
  <c r="U655" i="5"/>
  <c r="U650" i="5"/>
  <c r="U651" i="5"/>
  <c r="U652" i="5"/>
  <c r="U653" i="5"/>
  <c r="U654" i="5"/>
  <c r="U1301" i="5"/>
  <c r="U1302" i="5"/>
  <c r="U1303" i="5"/>
  <c r="U1304" i="5"/>
  <c r="U1305" i="5"/>
  <c r="U1306" i="5"/>
  <c r="U1307" i="5"/>
  <c r="U1308" i="5"/>
  <c r="U1309" i="5"/>
  <c r="U1310" i="5"/>
  <c r="U1311" i="5"/>
  <c r="U1312" i="5"/>
  <c r="U1313" i="5"/>
  <c r="U1314" i="5"/>
  <c r="U1315" i="5"/>
  <c r="U1316" i="5"/>
  <c r="U1317" i="5"/>
  <c r="U1318" i="5"/>
  <c r="U1319" i="5"/>
  <c r="U1320" i="5"/>
  <c r="U1321" i="5"/>
  <c r="U1322" i="5"/>
  <c r="U1323" i="5"/>
  <c r="U1324" i="5"/>
  <c r="U1325" i="5"/>
  <c r="U1326" i="5"/>
  <c r="U1327" i="5"/>
  <c r="U1328" i="5"/>
  <c r="U1329" i="5"/>
  <c r="U1330" i="5"/>
  <c r="U1331" i="5"/>
  <c r="U1332" i="5"/>
  <c r="U1333" i="5"/>
  <c r="U1334" i="5"/>
  <c r="U1335" i="5"/>
  <c r="U1336" i="5"/>
  <c r="U1337" i="5"/>
  <c r="U1338" i="5"/>
  <c r="U1339" i="5"/>
  <c r="U1340" i="5"/>
  <c r="U1341" i="5"/>
  <c r="U1342" i="5"/>
  <c r="U1343" i="5"/>
  <c r="U1344" i="5"/>
  <c r="U1345" i="5"/>
  <c r="U1346" i="5"/>
  <c r="U1347" i="5"/>
  <c r="U1348" i="5"/>
  <c r="U1349" i="5"/>
  <c r="U1350" i="5"/>
  <c r="U1351" i="5"/>
  <c r="U1352" i="5"/>
  <c r="U1353" i="5"/>
  <c r="U1354" i="5"/>
  <c r="U1355" i="5"/>
  <c r="U1356" i="5"/>
  <c r="U1357" i="5"/>
  <c r="U1358" i="5"/>
  <c r="U1359" i="5"/>
  <c r="U1360" i="5"/>
  <c r="U1361" i="5"/>
  <c r="U1362" i="5"/>
  <c r="U1363" i="5"/>
  <c r="U1364" i="5"/>
  <c r="U1365" i="5"/>
  <c r="U1366" i="5"/>
  <c r="U1367" i="5"/>
  <c r="F19" i="1"/>
  <c r="F6" i="1"/>
  <c r="Q7" i="5"/>
  <c r="H8" i="1" l="1"/>
  <c r="L56" i="10"/>
  <c r="O56" i="10"/>
  <c r="P56" i="10"/>
  <c r="S56" i="10"/>
  <c r="G33" i="14" l="1"/>
  <c r="D33" i="14"/>
  <c r="K33" i="14" l="1"/>
  <c r="J33" i="14"/>
  <c r="L55" i="10"/>
  <c r="O55" i="10"/>
  <c r="P55" i="10"/>
  <c r="S55" i="10"/>
  <c r="G39" i="1" l="1"/>
  <c r="K33" i="1"/>
  <c r="J33" i="1"/>
  <c r="H33" i="1"/>
  <c r="H29" i="1"/>
  <c r="L54" i="10"/>
  <c r="O54" i="10"/>
  <c r="P54" i="10"/>
  <c r="S54" i="10"/>
  <c r="I33" i="1" l="1"/>
  <c r="H33" i="14"/>
  <c r="I33" i="14" s="1"/>
  <c r="H80" i="1"/>
  <c r="H11" i="1" l="1"/>
  <c r="S2" i="10" l="1"/>
  <c r="S3" i="10"/>
  <c r="S4" i="10"/>
  <c r="S5" i="10"/>
  <c r="S6" i="10"/>
  <c r="S7" i="10"/>
  <c r="S8" i="10"/>
  <c r="S9" i="10"/>
  <c r="S10" i="10"/>
  <c r="S11" i="10"/>
  <c r="S12" i="10"/>
  <c r="S13" i="10"/>
  <c r="S14" i="10"/>
  <c r="S15" i="10"/>
  <c r="S16" i="10"/>
  <c r="S17" i="10"/>
  <c r="S18" i="10"/>
  <c r="S19" i="10"/>
  <c r="S20" i="10"/>
  <c r="S21" i="10"/>
  <c r="S22" i="10"/>
  <c r="S23" i="10"/>
  <c r="S24" i="10"/>
  <c r="S25" i="10"/>
  <c r="S26" i="10"/>
  <c r="S27" i="10"/>
  <c r="S28" i="10"/>
  <c r="S29" i="10"/>
  <c r="S30" i="10"/>
  <c r="S31" i="10"/>
  <c r="S32" i="10"/>
  <c r="S33" i="10"/>
  <c r="S34" i="10"/>
  <c r="S35" i="10"/>
  <c r="S36" i="10"/>
  <c r="S37" i="10"/>
  <c r="S38" i="10"/>
  <c r="S39" i="10"/>
  <c r="S40" i="10"/>
  <c r="S41" i="10"/>
  <c r="S42" i="10"/>
  <c r="S43" i="10"/>
  <c r="S44" i="10"/>
  <c r="S45" i="10"/>
  <c r="S46" i="10"/>
  <c r="S47" i="10"/>
  <c r="S48" i="10"/>
  <c r="S49" i="10"/>
  <c r="S50" i="10"/>
  <c r="S52" i="10"/>
  <c r="S53" i="10"/>
  <c r="L53" i="10"/>
  <c r="O53" i="10"/>
  <c r="P53" i="10"/>
  <c r="H16" i="14" l="1"/>
  <c r="H15" i="14"/>
  <c r="H8" i="14"/>
  <c r="H29" i="14"/>
  <c r="U2"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417" i="5"/>
  <c r="U33" i="5"/>
  <c r="U34" i="5"/>
  <c r="U35" i="5"/>
  <c r="U36" i="5"/>
  <c r="U37" i="5"/>
  <c r="U38" i="5"/>
  <c r="U39" i="5"/>
  <c r="U40" i="5"/>
  <c r="U419"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8"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26" i="5"/>
  <c r="U127" i="5"/>
  <c r="U128" i="5"/>
  <c r="U129" i="5"/>
  <c r="U130" i="5"/>
  <c r="U131" i="5"/>
  <c r="U575" i="5"/>
  <c r="U576" i="5"/>
  <c r="U142" i="5"/>
  <c r="U607" i="5"/>
  <c r="U136" i="5"/>
  <c r="U595" i="5"/>
  <c r="U578" i="5"/>
  <c r="U628" i="5"/>
  <c r="U608" i="5"/>
  <c r="U137" i="5"/>
  <c r="U629" i="5"/>
  <c r="U630" i="5"/>
  <c r="U144" i="5"/>
  <c r="U145" i="5"/>
  <c r="U146" i="5"/>
  <c r="U147" i="5"/>
  <c r="U148" i="5"/>
  <c r="U149" i="5"/>
  <c r="U150" i="5"/>
  <c r="U151" i="5"/>
  <c r="U152" i="5"/>
  <c r="U153" i="5"/>
  <c r="U154" i="5"/>
  <c r="U155" i="5"/>
  <c r="U156" i="5"/>
  <c r="U157" i="5"/>
  <c r="U158" i="5"/>
  <c r="U159" i="5"/>
  <c r="U160" i="5"/>
  <c r="U161" i="5"/>
  <c r="U162" i="5"/>
  <c r="U163" i="5"/>
  <c r="U164" i="5"/>
  <c r="U165" i="5"/>
  <c r="U166" i="5"/>
  <c r="U167" i="5"/>
  <c r="U168" i="5"/>
  <c r="U169" i="5"/>
  <c r="U170" i="5"/>
  <c r="U171" i="5"/>
  <c r="U172" i="5"/>
  <c r="U173" i="5"/>
  <c r="U174" i="5"/>
  <c r="U175" i="5"/>
  <c r="U176" i="5"/>
  <c r="U177" i="5"/>
  <c r="U178" i="5"/>
  <c r="U179" i="5"/>
  <c r="U180" i="5"/>
  <c r="U181" i="5"/>
  <c r="U182" i="5"/>
  <c r="U183" i="5"/>
  <c r="U184" i="5"/>
  <c r="U186" i="5"/>
  <c r="U187" i="5"/>
  <c r="U188" i="5"/>
  <c r="U189" i="5"/>
  <c r="U190" i="5"/>
  <c r="U191" i="5"/>
  <c r="U192" i="5"/>
  <c r="U193" i="5"/>
  <c r="U194" i="5"/>
  <c r="U195" i="5"/>
  <c r="U196" i="5"/>
  <c r="U197" i="5"/>
  <c r="U198" i="5"/>
  <c r="U199" i="5"/>
  <c r="U200" i="5"/>
  <c r="U201" i="5"/>
  <c r="U202" i="5"/>
  <c r="U203" i="5"/>
  <c r="U204" i="5"/>
  <c r="U205" i="5"/>
  <c r="U206" i="5"/>
  <c r="U207" i="5"/>
  <c r="U208" i="5"/>
  <c r="U209" i="5"/>
  <c r="U211" i="5"/>
  <c r="U212" i="5"/>
  <c r="U213" i="5"/>
  <c r="U634" i="5"/>
  <c r="U215" i="5"/>
  <c r="U216" i="5"/>
  <c r="U217" i="5"/>
  <c r="U218" i="5"/>
  <c r="U219" i="5"/>
  <c r="U220" i="5"/>
  <c r="U221" i="5"/>
  <c r="U304" i="5"/>
  <c r="U223" i="5"/>
  <c r="U224" i="5"/>
  <c r="U225" i="5"/>
  <c r="U226" i="5"/>
  <c r="U227" i="5"/>
  <c r="U228" i="5"/>
  <c r="U229" i="5"/>
  <c r="U230" i="5"/>
  <c r="U231" i="5"/>
  <c r="U232" i="5"/>
  <c r="U233" i="5"/>
  <c r="U234" i="5"/>
  <c r="U235" i="5"/>
  <c r="U236" i="5"/>
  <c r="U237" i="5"/>
  <c r="U238" i="5"/>
  <c r="U239" i="5"/>
  <c r="U240" i="5"/>
  <c r="U241" i="5"/>
  <c r="U242" i="5"/>
  <c r="U243" i="5"/>
  <c r="U244" i="5"/>
  <c r="U245" i="5"/>
  <c r="U246" i="5"/>
  <c r="U247" i="5"/>
  <c r="U248" i="5"/>
  <c r="U249" i="5"/>
  <c r="U250" i="5"/>
  <c r="U251" i="5"/>
  <c r="U252" i="5"/>
  <c r="U253" i="5"/>
  <c r="U254" i="5"/>
  <c r="U255" i="5"/>
  <c r="U256" i="5"/>
  <c r="U257" i="5"/>
  <c r="U258" i="5"/>
  <c r="U259" i="5"/>
  <c r="U260" i="5"/>
  <c r="U261" i="5"/>
  <c r="U262" i="5"/>
  <c r="U263" i="5"/>
  <c r="U264" i="5"/>
  <c r="U265" i="5"/>
  <c r="U266" i="5"/>
  <c r="U267" i="5"/>
  <c r="U268" i="5"/>
  <c r="U269" i="5"/>
  <c r="U270" i="5"/>
  <c r="U271" i="5"/>
  <c r="U272" i="5"/>
  <c r="U273" i="5"/>
  <c r="U274" i="5"/>
  <c r="U275" i="5"/>
  <c r="U276" i="5"/>
  <c r="U277" i="5"/>
  <c r="U278" i="5"/>
  <c r="U279" i="5"/>
  <c r="U280" i="5"/>
  <c r="U281" i="5"/>
  <c r="U282" i="5"/>
  <c r="U283" i="5"/>
  <c r="U284" i="5"/>
  <c r="U285" i="5"/>
  <c r="U286" i="5"/>
  <c r="U287" i="5"/>
  <c r="U288" i="5"/>
  <c r="U289" i="5"/>
  <c r="U290" i="5"/>
  <c r="U291" i="5"/>
  <c r="U292" i="5"/>
  <c r="U293" i="5"/>
  <c r="U294" i="5"/>
  <c r="U295" i="5"/>
  <c r="U296" i="5"/>
  <c r="U297" i="5"/>
  <c r="U298" i="5"/>
  <c r="U299" i="5"/>
  <c r="U300" i="5"/>
  <c r="U301" i="5"/>
  <c r="U302" i="5"/>
  <c r="U303" i="5"/>
  <c r="U542" i="5"/>
  <c r="U305" i="5"/>
  <c r="U306" i="5"/>
  <c r="U307" i="5"/>
  <c r="U308" i="5"/>
  <c r="U309" i="5"/>
  <c r="U310" i="5"/>
  <c r="U311" i="5"/>
  <c r="U312" i="5"/>
  <c r="U313" i="5"/>
  <c r="U314" i="5"/>
  <c r="U315" i="5"/>
  <c r="U316" i="5"/>
  <c r="U317" i="5"/>
  <c r="U318" i="5"/>
  <c r="U319" i="5"/>
  <c r="U320" i="5"/>
  <c r="U321" i="5"/>
  <c r="U322" i="5"/>
  <c r="U323" i="5"/>
  <c r="U324" i="5"/>
  <c r="U325" i="5"/>
  <c r="U326" i="5"/>
  <c r="U327" i="5"/>
  <c r="U328" i="5"/>
  <c r="U329" i="5"/>
  <c r="U330" i="5"/>
  <c r="U331" i="5"/>
  <c r="U332" i="5"/>
  <c r="U333" i="5"/>
  <c r="U334" i="5"/>
  <c r="U335" i="5"/>
  <c r="U336" i="5"/>
  <c r="U337" i="5"/>
  <c r="U338" i="5"/>
  <c r="U339" i="5"/>
  <c r="U340" i="5"/>
  <c r="U341" i="5"/>
  <c r="U342" i="5"/>
  <c r="U343" i="5"/>
  <c r="U344" i="5"/>
  <c r="U345" i="5"/>
  <c r="U346" i="5"/>
  <c r="U347" i="5"/>
  <c r="U348" i="5"/>
  <c r="U349" i="5"/>
  <c r="U350" i="5"/>
  <c r="U351" i="5"/>
  <c r="U352" i="5"/>
  <c r="U353" i="5"/>
  <c r="U354" i="5"/>
  <c r="U355" i="5"/>
  <c r="U356" i="5"/>
  <c r="U357" i="5"/>
  <c r="U358" i="5"/>
  <c r="U359" i="5"/>
  <c r="U360" i="5"/>
  <c r="U361" i="5"/>
  <c r="U1384" i="5"/>
  <c r="U363" i="5"/>
  <c r="U364" i="5"/>
  <c r="U365" i="5"/>
  <c r="U1387" i="5"/>
  <c r="U367" i="5"/>
  <c r="U368" i="5"/>
  <c r="U369" i="5"/>
  <c r="U370" i="5"/>
  <c r="U371" i="5"/>
  <c r="U372" i="5"/>
  <c r="U373" i="5"/>
  <c r="U374" i="5"/>
  <c r="U375" i="5"/>
  <c r="U376" i="5"/>
  <c r="U377" i="5"/>
  <c r="U378" i="5"/>
  <c r="U379" i="5"/>
  <c r="U380" i="5"/>
  <c r="U382" i="5"/>
  <c r="U383" i="5"/>
  <c r="U384" i="5"/>
  <c r="U385" i="5"/>
  <c r="U386" i="5"/>
  <c r="U387" i="5"/>
  <c r="U388" i="5"/>
  <c r="U389" i="5"/>
  <c r="U390" i="5"/>
  <c r="U391" i="5"/>
  <c r="U392" i="5"/>
  <c r="U393" i="5"/>
  <c r="U394" i="5"/>
  <c r="U395" i="5"/>
  <c r="U396" i="5"/>
  <c r="U397" i="5"/>
  <c r="U398" i="5"/>
  <c r="U399" i="5"/>
  <c r="U400" i="5"/>
  <c r="U401" i="5"/>
  <c r="U402" i="5"/>
  <c r="U403" i="5"/>
  <c r="U404" i="5"/>
  <c r="U405" i="5"/>
  <c r="U406" i="5"/>
  <c r="U407" i="5"/>
  <c r="U408" i="5"/>
  <c r="U409" i="5"/>
  <c r="U410" i="5"/>
  <c r="U411" i="5"/>
  <c r="U412" i="5"/>
  <c r="U413" i="5"/>
  <c r="U414" i="5"/>
  <c r="U415" i="5"/>
  <c r="U416" i="5"/>
  <c r="U32" i="5"/>
  <c r="U418" i="5"/>
  <c r="U41" i="5"/>
  <c r="U420" i="5"/>
  <c r="U421" i="5"/>
  <c r="U422" i="5"/>
  <c r="U423" i="5"/>
  <c r="U424" i="5"/>
  <c r="U425" i="5"/>
  <c r="U426" i="5"/>
  <c r="U427" i="5"/>
  <c r="U428" i="5"/>
  <c r="U429" i="5"/>
  <c r="U430" i="5"/>
  <c r="U431" i="5"/>
  <c r="U432" i="5"/>
  <c r="U433" i="5"/>
  <c r="U434" i="5"/>
  <c r="U435" i="5"/>
  <c r="U436" i="5"/>
  <c r="U437" i="5"/>
  <c r="U438" i="5"/>
  <c r="U439" i="5"/>
  <c r="U440" i="5"/>
  <c r="U441" i="5"/>
  <c r="U442" i="5"/>
  <c r="U443" i="5"/>
  <c r="U444" i="5"/>
  <c r="U445" i="5"/>
  <c r="U446" i="5"/>
  <c r="U447" i="5"/>
  <c r="U448" i="5"/>
  <c r="U449" i="5"/>
  <c r="U450" i="5"/>
  <c r="U451" i="5"/>
  <c r="U452" i="5"/>
  <c r="U453" i="5"/>
  <c r="U454" i="5"/>
  <c r="U455" i="5"/>
  <c r="U456" i="5"/>
  <c r="U457" i="5"/>
  <c r="U458" i="5"/>
  <c r="U459" i="5"/>
  <c r="U460" i="5"/>
  <c r="U461" i="5"/>
  <c r="U462" i="5"/>
  <c r="U463" i="5"/>
  <c r="U464" i="5"/>
  <c r="U465" i="5"/>
  <c r="U466" i="5"/>
  <c r="U467" i="5"/>
  <c r="U468" i="5"/>
  <c r="U469" i="5"/>
  <c r="U470" i="5"/>
  <c r="U471" i="5"/>
  <c r="U472" i="5"/>
  <c r="U473" i="5"/>
  <c r="U474" i="5"/>
  <c r="U475" i="5"/>
  <c r="U476" i="5"/>
  <c r="U477" i="5"/>
  <c r="U478" i="5"/>
  <c r="U479" i="5"/>
  <c r="U480" i="5"/>
  <c r="U481" i="5"/>
  <c r="U482" i="5"/>
  <c r="U483" i="5"/>
  <c r="U484" i="5"/>
  <c r="U485" i="5"/>
  <c r="U486" i="5"/>
  <c r="U487" i="5"/>
  <c r="U488" i="5"/>
  <c r="U489" i="5"/>
  <c r="U490" i="5"/>
  <c r="U491" i="5"/>
  <c r="U492" i="5"/>
  <c r="U493" i="5"/>
  <c r="U494" i="5"/>
  <c r="U495" i="5"/>
  <c r="U496" i="5"/>
  <c r="U497" i="5"/>
  <c r="U498" i="5"/>
  <c r="U499" i="5"/>
  <c r="U500" i="5"/>
  <c r="U501" i="5"/>
  <c r="U502" i="5"/>
  <c r="U503" i="5"/>
  <c r="U504" i="5"/>
  <c r="U505" i="5"/>
  <c r="U506" i="5"/>
  <c r="U507" i="5"/>
  <c r="U508" i="5"/>
  <c r="U509" i="5"/>
  <c r="U510" i="5"/>
  <c r="U511" i="5"/>
  <c r="U512" i="5"/>
  <c r="U513" i="5"/>
  <c r="U514" i="5"/>
  <c r="U515" i="5"/>
  <c r="U516" i="5"/>
  <c r="U517" i="5"/>
  <c r="U518" i="5"/>
  <c r="U519" i="5"/>
  <c r="U520" i="5"/>
  <c r="U521" i="5"/>
  <c r="U522" i="5"/>
  <c r="U523" i="5"/>
  <c r="U524" i="5"/>
  <c r="U525" i="5"/>
  <c r="U526" i="5"/>
  <c r="U527" i="5"/>
  <c r="U528" i="5"/>
  <c r="U529" i="5"/>
  <c r="U530" i="5"/>
  <c r="U532" i="5"/>
  <c r="U533" i="5"/>
  <c r="U534" i="5"/>
  <c r="U535" i="5"/>
  <c r="U536" i="5"/>
  <c r="U537" i="5"/>
  <c r="U538" i="5"/>
  <c r="U539" i="5"/>
  <c r="U540" i="5"/>
  <c r="U541" i="5"/>
  <c r="U1388" i="5"/>
  <c r="U1389" i="5"/>
  <c r="U544" i="5"/>
  <c r="U545" i="5"/>
  <c r="U546" i="5"/>
  <c r="U547" i="5"/>
  <c r="U548" i="5"/>
  <c r="U549" i="5"/>
  <c r="U550" i="5"/>
  <c r="U551" i="5"/>
  <c r="U552" i="5"/>
  <c r="U553" i="5"/>
  <c r="U554" i="5"/>
  <c r="U555" i="5"/>
  <c r="U556" i="5"/>
  <c r="U557" i="5"/>
  <c r="U558" i="5"/>
  <c r="U559" i="5"/>
  <c r="U560" i="5"/>
  <c r="U561" i="5"/>
  <c r="U562" i="5"/>
  <c r="U563" i="5"/>
  <c r="U564" i="5"/>
  <c r="U565" i="5"/>
  <c r="U566" i="5"/>
  <c r="U567" i="5"/>
  <c r="U568" i="5"/>
  <c r="U569" i="5"/>
  <c r="U570" i="5"/>
  <c r="U571" i="5"/>
  <c r="U133" i="5"/>
  <c r="U134" i="5"/>
  <c r="U135" i="5"/>
  <c r="U619" i="5"/>
  <c r="U614" i="5"/>
  <c r="U596" i="5"/>
  <c r="U579" i="5"/>
  <c r="U609" i="5"/>
  <c r="U580" i="5"/>
  <c r="U581" i="5"/>
  <c r="U582" i="5"/>
  <c r="U611" i="5"/>
  <c r="U583" i="5"/>
  <c r="U584" i="5"/>
  <c r="U618" i="5"/>
  <c r="U132" i="5"/>
  <c r="U598" i="5"/>
  <c r="U585" i="5"/>
  <c r="U599" i="5"/>
  <c r="U615" i="5"/>
  <c r="U586" i="5"/>
  <c r="U587" i="5"/>
  <c r="U588" i="5"/>
  <c r="U589" i="5"/>
  <c r="U590" i="5"/>
  <c r="U616" i="5"/>
  <c r="U617" i="5"/>
  <c r="U591" i="5"/>
  <c r="U626" i="5"/>
  <c r="U613" i="5"/>
  <c r="U605" i="5"/>
  <c r="U600" i="5"/>
  <c r="U612" i="5"/>
  <c r="U592" i="5"/>
  <c r="U606" i="5"/>
  <c r="U594" i="5"/>
  <c r="U620" i="5"/>
  <c r="U601" i="5"/>
  <c r="U602" i="5"/>
  <c r="U603" i="5"/>
  <c r="U577" i="5"/>
  <c r="U143" i="5"/>
  <c r="U572" i="5"/>
  <c r="U573" i="5"/>
  <c r="U574" i="5"/>
  <c r="U623" i="5"/>
  <c r="U624" i="5"/>
  <c r="U631" i="5"/>
  <c r="U593" i="5"/>
  <c r="U621" i="5"/>
  <c r="U622" i="5"/>
  <c r="U632" i="5"/>
  <c r="U633" i="5"/>
  <c r="U625" i="5"/>
  <c r="U138" i="5"/>
  <c r="U139" i="5"/>
  <c r="U597" i="5"/>
  <c r="U140" i="5"/>
  <c r="U141" i="5"/>
  <c r="U1293" i="5"/>
  <c r="U362" i="5"/>
  <c r="U649" i="5"/>
  <c r="U656" i="5"/>
  <c r="U1294" i="5"/>
  <c r="U1295" i="5"/>
  <c r="U1296" i="5"/>
  <c r="U1297" i="5"/>
  <c r="U1298" i="5"/>
  <c r="U214" i="5"/>
  <c r="U636" i="5"/>
  <c r="U637" i="5"/>
  <c r="U638" i="5"/>
  <c r="U648" i="5"/>
  <c r="U639" i="5"/>
  <c r="U640" i="5"/>
  <c r="U366" i="5"/>
  <c r="U642" i="5"/>
  <c r="U643" i="5"/>
  <c r="U644" i="5"/>
  <c r="U645" i="5"/>
  <c r="U646" i="5"/>
  <c r="U647" i="5"/>
  <c r="U657" i="5"/>
  <c r="U658" i="5"/>
  <c r="U659" i="5"/>
  <c r="U660" i="5"/>
  <c r="U1289" i="5"/>
  <c r="U661" i="5"/>
  <c r="U1290" i="5"/>
  <c r="U1291" i="5"/>
  <c r="U1292" i="5"/>
  <c r="U666" i="5"/>
  <c r="U667" i="5"/>
  <c r="U668" i="5"/>
  <c r="U669" i="5"/>
  <c r="U670" i="5"/>
  <c r="U671" i="5"/>
  <c r="U672" i="5"/>
  <c r="U673" i="5"/>
  <c r="U674" i="5"/>
  <c r="U675" i="5"/>
  <c r="U676" i="5"/>
  <c r="U677" i="5"/>
  <c r="U678" i="5"/>
  <c r="U679" i="5"/>
  <c r="U680" i="5"/>
  <c r="U681" i="5"/>
  <c r="U682" i="5"/>
  <c r="U683" i="5"/>
  <c r="U684" i="5"/>
  <c r="U685" i="5"/>
  <c r="U686" i="5"/>
  <c r="U687" i="5"/>
  <c r="U688" i="5"/>
  <c r="U689" i="5"/>
  <c r="U690" i="5"/>
  <c r="U691" i="5"/>
  <c r="U692" i="5"/>
  <c r="U693" i="5"/>
  <c r="U694" i="5"/>
  <c r="U695" i="5"/>
  <c r="U696" i="5"/>
  <c r="U697" i="5"/>
  <c r="U698" i="5"/>
  <c r="U699" i="5"/>
  <c r="U700" i="5"/>
  <c r="U701" i="5"/>
  <c r="U702" i="5"/>
  <c r="U703" i="5"/>
  <c r="U704" i="5"/>
  <c r="U705" i="5"/>
  <c r="U706" i="5"/>
  <c r="U707" i="5"/>
  <c r="U708" i="5"/>
  <c r="U709" i="5"/>
  <c r="U710" i="5"/>
  <c r="U711" i="5"/>
  <c r="U712" i="5"/>
  <c r="U713" i="5"/>
  <c r="U714" i="5"/>
  <c r="U716" i="5"/>
  <c r="U717" i="5"/>
  <c r="U718" i="5"/>
  <c r="U719" i="5"/>
  <c r="U720" i="5"/>
  <c r="U721" i="5"/>
  <c r="U722" i="5"/>
  <c r="U723" i="5"/>
  <c r="U724" i="5"/>
  <c r="U725" i="5"/>
  <c r="U726" i="5"/>
  <c r="U727" i="5"/>
  <c r="U728" i="5"/>
  <c r="U729" i="5"/>
  <c r="U730" i="5"/>
  <c r="U731" i="5"/>
  <c r="U732" i="5"/>
  <c r="U733" i="5"/>
  <c r="U734" i="5"/>
  <c r="U735" i="5"/>
  <c r="U736" i="5"/>
  <c r="U737" i="5"/>
  <c r="U738" i="5"/>
  <c r="U739" i="5"/>
  <c r="U740" i="5"/>
  <c r="U741" i="5"/>
  <c r="U742" i="5"/>
  <c r="U743" i="5"/>
  <c r="U744" i="5"/>
  <c r="U745" i="5"/>
  <c r="U746" i="5"/>
  <c r="U747" i="5"/>
  <c r="U748" i="5"/>
  <c r="U749" i="5"/>
  <c r="U750" i="5"/>
  <c r="U751" i="5"/>
  <c r="U752" i="5"/>
  <c r="U753" i="5"/>
  <c r="U754" i="5"/>
  <c r="U755" i="5"/>
  <c r="U756" i="5"/>
  <c r="U757" i="5"/>
  <c r="U758" i="5"/>
  <c r="U759" i="5"/>
  <c r="U760" i="5"/>
  <c r="U761" i="5"/>
  <c r="U762" i="5"/>
  <c r="U763" i="5"/>
  <c r="U764" i="5"/>
  <c r="U765" i="5"/>
  <c r="U766" i="5"/>
  <c r="U767" i="5"/>
  <c r="U768" i="5"/>
  <c r="U769" i="5"/>
  <c r="U770" i="5"/>
  <c r="U771" i="5"/>
  <c r="U772" i="5"/>
  <c r="U773" i="5"/>
  <c r="U774" i="5"/>
  <c r="U775" i="5"/>
  <c r="U776" i="5"/>
  <c r="U777" i="5"/>
  <c r="U778" i="5"/>
  <c r="U779" i="5"/>
  <c r="U780" i="5"/>
  <c r="U781" i="5"/>
  <c r="U782" i="5"/>
  <c r="U783" i="5"/>
  <c r="U784" i="5"/>
  <c r="U785" i="5"/>
  <c r="U786" i="5"/>
  <c r="U787" i="5"/>
  <c r="U788" i="5"/>
  <c r="U789" i="5"/>
  <c r="U790" i="5"/>
  <c r="U791" i="5"/>
  <c r="U792" i="5"/>
  <c r="U793" i="5"/>
  <c r="U794" i="5"/>
  <c r="U795" i="5"/>
  <c r="U796" i="5"/>
  <c r="U797" i="5"/>
  <c r="U798" i="5"/>
  <c r="U799" i="5"/>
  <c r="U800" i="5"/>
  <c r="U222" i="5"/>
  <c r="U802" i="5"/>
  <c r="U803" i="5"/>
  <c r="U804" i="5"/>
  <c r="U806" i="5"/>
  <c r="U807" i="5"/>
  <c r="U808" i="5"/>
  <c r="U809" i="5"/>
  <c r="U810" i="5"/>
  <c r="U811" i="5"/>
  <c r="U812" i="5"/>
  <c r="U813" i="5"/>
  <c r="U814" i="5"/>
  <c r="U815" i="5"/>
  <c r="U816" i="5"/>
  <c r="U817" i="5"/>
  <c r="U818" i="5"/>
  <c r="U819" i="5"/>
  <c r="U820" i="5"/>
  <c r="U821" i="5"/>
  <c r="U822" i="5"/>
  <c r="U823" i="5"/>
  <c r="U824" i="5"/>
  <c r="U825" i="5"/>
  <c r="U826" i="5"/>
  <c r="U827" i="5"/>
  <c r="U828" i="5"/>
  <c r="U829" i="5"/>
  <c r="U830" i="5"/>
  <c r="U831" i="5"/>
  <c r="U832" i="5"/>
  <c r="U833" i="5"/>
  <c r="U834" i="5"/>
  <c r="U835" i="5"/>
  <c r="U836" i="5"/>
  <c r="U837" i="5"/>
  <c r="U838" i="5"/>
  <c r="U839" i="5"/>
  <c r="U840" i="5"/>
  <c r="U841" i="5"/>
  <c r="U842" i="5"/>
  <c r="U843" i="5"/>
  <c r="U845" i="5"/>
  <c r="U846" i="5"/>
  <c r="U847" i="5"/>
  <c r="U848" i="5"/>
  <c r="U849" i="5"/>
  <c r="U850" i="5"/>
  <c r="U851" i="5"/>
  <c r="U852" i="5"/>
  <c r="U853" i="5"/>
  <c r="U854" i="5"/>
  <c r="H130" i="1" l="1"/>
  <c r="H129" i="14" s="1"/>
  <c r="H127" i="1"/>
  <c r="H126" i="14" s="1"/>
  <c r="H126" i="1"/>
  <c r="H125" i="14" s="1"/>
  <c r="H125" i="1"/>
  <c r="H124" i="14" s="1"/>
  <c r="H118" i="1"/>
  <c r="H117" i="14" s="1"/>
  <c r="H114" i="1"/>
  <c r="H113" i="14" s="1"/>
  <c r="H112" i="1"/>
  <c r="H111" i="14" s="1"/>
  <c r="H111" i="1"/>
  <c r="H110" i="14" s="1"/>
  <c r="H110" i="1"/>
  <c r="H109" i="14" s="1"/>
  <c r="H109" i="1"/>
  <c r="H108" i="14" s="1"/>
  <c r="H107" i="1"/>
  <c r="H106" i="14" s="1"/>
  <c r="H106" i="1"/>
  <c r="H105" i="14" s="1"/>
  <c r="H105" i="1"/>
  <c r="H104" i="14" s="1"/>
  <c r="H104" i="1"/>
  <c r="H103" i="14" s="1"/>
  <c r="H103" i="1"/>
  <c r="H102" i="14" s="1"/>
  <c r="H102" i="1"/>
  <c r="H101" i="14" s="1"/>
  <c r="H101" i="1"/>
  <c r="H100" i="14" s="1"/>
  <c r="H96" i="1"/>
  <c r="H95" i="14" s="1"/>
  <c r="H94" i="1"/>
  <c r="H93" i="14" s="1"/>
  <c r="H93" i="1"/>
  <c r="H92" i="14" s="1"/>
  <c r="H92" i="1"/>
  <c r="H91" i="14" s="1"/>
  <c r="I91" i="1"/>
  <c r="H90" i="1"/>
  <c r="H90" i="14" s="1"/>
  <c r="H89" i="1"/>
  <c r="H89" i="14" s="1"/>
  <c r="H88" i="14"/>
  <c r="H86" i="1"/>
  <c r="H86" i="14" s="1"/>
  <c r="H85" i="1"/>
  <c r="H85" i="14" s="1"/>
  <c r="H84" i="1"/>
  <c r="H84" i="14" s="1"/>
  <c r="H83" i="1"/>
  <c r="H83" i="14" s="1"/>
  <c r="H82" i="1"/>
  <c r="H82" i="14" s="1"/>
  <c r="H81" i="1"/>
  <c r="H81" i="14" s="1"/>
  <c r="H76" i="1"/>
  <c r="H76" i="14" s="1"/>
  <c r="H75" i="1"/>
  <c r="H75" i="14" s="1"/>
  <c r="H74" i="1"/>
  <c r="H74" i="14" s="1"/>
  <c r="H69" i="1"/>
  <c r="H69" i="14" s="1"/>
  <c r="H68" i="1"/>
  <c r="H68" i="14" s="1"/>
  <c r="H67" i="1"/>
  <c r="H67" i="14" s="1"/>
  <c r="H66" i="1"/>
  <c r="H66" i="14" s="1"/>
  <c r="H65" i="1"/>
  <c r="H65" i="14" s="1"/>
  <c r="H64" i="1"/>
  <c r="H64" i="14" s="1"/>
  <c r="H137" i="1"/>
  <c r="H136" i="14" s="1"/>
  <c r="H136" i="1"/>
  <c r="H135" i="14" s="1"/>
  <c r="H135" i="1"/>
  <c r="H134" i="14" s="1"/>
  <c r="H134" i="1"/>
  <c r="H133" i="14" s="1"/>
  <c r="H133" i="1"/>
  <c r="H132" i="14" s="1"/>
  <c r="H132" i="1"/>
  <c r="H131" i="14" s="1"/>
  <c r="H131" i="1"/>
  <c r="H130" i="14" s="1"/>
  <c r="H129" i="1"/>
  <c r="H128" i="14" s="1"/>
  <c r="H128" i="1"/>
  <c r="H127" i="14" s="1"/>
  <c r="H124" i="1"/>
  <c r="H123" i="14" s="1"/>
  <c r="H123" i="1"/>
  <c r="H122" i="14" s="1"/>
  <c r="H122" i="1"/>
  <c r="H121" i="14" s="1"/>
  <c r="H121" i="1"/>
  <c r="H120" i="14" s="1"/>
  <c r="H119" i="1"/>
  <c r="H118" i="14" s="1"/>
  <c r="H117" i="1"/>
  <c r="H116" i="14" s="1"/>
  <c r="H116" i="1"/>
  <c r="H115" i="14" s="1"/>
  <c r="H115" i="1"/>
  <c r="H114" i="14" s="1"/>
  <c r="H113" i="1"/>
  <c r="H112" i="14" s="1"/>
  <c r="H108" i="1"/>
  <c r="H107" i="14" s="1"/>
  <c r="H100" i="1"/>
  <c r="H99" i="14" s="1"/>
  <c r="H98" i="1"/>
  <c r="H97" i="14" s="1"/>
  <c r="H97" i="1"/>
  <c r="H96" i="14" s="1"/>
  <c r="H95" i="1"/>
  <c r="H94" i="14" s="1"/>
  <c r="H87" i="1"/>
  <c r="H87" i="14" s="1"/>
  <c r="H80" i="14"/>
  <c r="H78" i="1"/>
  <c r="H78" i="14" s="1"/>
  <c r="H77" i="1"/>
  <c r="H77" i="14" s="1"/>
  <c r="H73" i="1"/>
  <c r="H73" i="14" s="1"/>
  <c r="H71" i="1"/>
  <c r="H72" i="1" s="1"/>
  <c r="H63" i="1"/>
  <c r="H63" i="14" s="1"/>
  <c r="H62" i="1"/>
  <c r="H62" i="14" s="1"/>
  <c r="H61" i="1"/>
  <c r="H61" i="14" s="1"/>
  <c r="H59" i="1"/>
  <c r="H59" i="14" s="1"/>
  <c r="H58" i="1"/>
  <c r="H58" i="14" s="1"/>
  <c r="H56" i="1"/>
  <c r="H56" i="14" s="1"/>
  <c r="H55" i="1"/>
  <c r="H55" i="14" s="1"/>
  <c r="H54" i="1"/>
  <c r="H54" i="14" s="1"/>
  <c r="H52" i="1"/>
  <c r="H50" i="1"/>
  <c r="H48" i="1"/>
  <c r="H48" i="14" s="1"/>
  <c r="H47" i="1"/>
  <c r="H47" i="14" s="1"/>
  <c r="H46" i="14"/>
  <c r="H45" i="1"/>
  <c r="H45" i="14" s="1"/>
  <c r="H44" i="1"/>
  <c r="H44" i="14" s="1"/>
  <c r="H43" i="1"/>
  <c r="H43" i="14" s="1"/>
  <c r="H38" i="1"/>
  <c r="H38" i="14" s="1"/>
  <c r="H34" i="14"/>
  <c r="H31" i="1"/>
  <c r="H31" i="14" s="1"/>
  <c r="H39" i="1"/>
  <c r="H35" i="1"/>
  <c r="H35" i="14" s="1"/>
  <c r="H32" i="1"/>
  <c r="H32" i="14" s="1"/>
  <c r="H30" i="1"/>
  <c r="H30" i="14" s="1"/>
  <c r="H25" i="1"/>
  <c r="H25" i="14" s="1"/>
  <c r="H24" i="1"/>
  <c r="H24" i="14" s="1"/>
  <c r="H23" i="1"/>
  <c r="H23" i="14" s="1"/>
  <c r="H21" i="1"/>
  <c r="H21" i="14" s="1"/>
  <c r="H20" i="1"/>
  <c r="H20" i="14" s="1"/>
  <c r="H19" i="1"/>
  <c r="H19" i="14" s="1"/>
  <c r="I16" i="1"/>
  <c r="I15" i="1"/>
  <c r="H14" i="1"/>
  <c r="H14" i="14" s="1"/>
  <c r="H13" i="1"/>
  <c r="H13" i="14" s="1"/>
  <c r="H11" i="14"/>
  <c r="H10" i="1"/>
  <c r="H10" i="14" s="1"/>
  <c r="H9" i="1"/>
  <c r="H9" i="14" s="1"/>
  <c r="H6" i="1"/>
  <c r="H6" i="14" s="1"/>
  <c r="H5" i="1"/>
  <c r="H5" i="14" s="1"/>
  <c r="I29" i="1"/>
  <c r="H72" i="14"/>
  <c r="H39" i="14" l="1"/>
  <c r="H40" i="14" s="1"/>
  <c r="I39" i="1"/>
  <c r="H17" i="14"/>
  <c r="H26" i="14"/>
  <c r="H7" i="14"/>
  <c r="H12" i="14"/>
  <c r="H36" i="14"/>
  <c r="H57" i="14"/>
  <c r="H22" i="14"/>
  <c r="H70" i="14"/>
  <c r="H60" i="14"/>
  <c r="H49" i="14"/>
  <c r="H119" i="14"/>
  <c r="H98" i="14"/>
  <c r="H137" i="14"/>
  <c r="H51" i="1"/>
  <c r="H50" i="14"/>
  <c r="H51" i="14" s="1"/>
  <c r="H53" i="1"/>
  <c r="H52" i="14"/>
  <c r="H53" i="14" s="1"/>
  <c r="H138" i="1"/>
  <c r="H120" i="1"/>
  <c r="H99" i="1"/>
  <c r="H70" i="1"/>
  <c r="H60" i="1"/>
  <c r="H57" i="1"/>
  <c r="H49" i="1"/>
  <c r="H40" i="1"/>
  <c r="H36" i="1"/>
  <c r="H26" i="1"/>
  <c r="H22" i="1"/>
  <c r="H17" i="1"/>
  <c r="H12" i="1"/>
  <c r="H7" i="1"/>
  <c r="H18" i="14" l="1"/>
  <c r="H27" i="14"/>
  <c r="H138" i="14"/>
  <c r="H139" i="1"/>
  <c r="H27" i="1"/>
  <c r="H18" i="1"/>
  <c r="H28" i="14" l="1"/>
  <c r="H37" i="14" s="1"/>
  <c r="H41" i="14" s="1"/>
  <c r="H28" i="1"/>
  <c r="H37" i="1" s="1"/>
  <c r="H41" i="1" s="1"/>
  <c r="S51" i="10" l="1"/>
  <c r="S59" i="10" s="1"/>
  <c r="U77" i="5" l="1"/>
  <c r="I42" i="1" l="1"/>
  <c r="G42" i="14"/>
  <c r="I42" i="14" s="1"/>
  <c r="U185" i="5"/>
  <c r="O52" i="10" l="1"/>
  <c r="G11" i="1"/>
  <c r="L52" i="10"/>
  <c r="P52" i="10"/>
  <c r="M89" i="5" l="1"/>
  <c r="D89" i="5"/>
  <c r="N89" i="5"/>
  <c r="Q89" i="5"/>
  <c r="R89" i="5"/>
  <c r="G29" i="14" l="1"/>
  <c r="G34" i="14"/>
  <c r="G31" i="1"/>
  <c r="G31" i="14" s="1"/>
  <c r="G96" i="1"/>
  <c r="G95" i="14" s="1"/>
  <c r="G94" i="1"/>
  <c r="G93" i="14" s="1"/>
  <c r="G93" i="1"/>
  <c r="G92" i="14" s="1"/>
  <c r="G92" i="1"/>
  <c r="G91" i="14" s="1"/>
  <c r="G90" i="1"/>
  <c r="G90" i="14" s="1"/>
  <c r="G89" i="1"/>
  <c r="G89" i="14" s="1"/>
  <c r="G88" i="14"/>
  <c r="G86" i="1"/>
  <c r="G86" i="14" s="1"/>
  <c r="G85" i="1"/>
  <c r="G85" i="14" s="1"/>
  <c r="G84" i="1"/>
  <c r="G84" i="14" s="1"/>
  <c r="G83" i="1"/>
  <c r="G83" i="14" s="1"/>
  <c r="G82" i="1"/>
  <c r="G82" i="14" s="1"/>
  <c r="G81" i="1"/>
  <c r="G81" i="14" s="1"/>
  <c r="G76" i="1"/>
  <c r="G76" i="14" s="1"/>
  <c r="G75" i="1"/>
  <c r="G75" i="14" s="1"/>
  <c r="G74" i="1"/>
  <c r="G74" i="14" s="1"/>
  <c r="G107" i="1"/>
  <c r="G106" i="14" s="1"/>
  <c r="G106" i="1"/>
  <c r="G105" i="14" s="1"/>
  <c r="G105" i="1"/>
  <c r="G104" i="14" s="1"/>
  <c r="G104" i="1"/>
  <c r="G103" i="14" s="1"/>
  <c r="G103" i="1"/>
  <c r="G102" i="14" s="1"/>
  <c r="G102" i="1"/>
  <c r="G101" i="14" s="1"/>
  <c r="G101" i="1"/>
  <c r="G100" i="14" s="1"/>
  <c r="G112" i="1"/>
  <c r="G111" i="14" s="1"/>
  <c r="G111" i="1"/>
  <c r="G110" i="14" s="1"/>
  <c r="G110" i="1"/>
  <c r="G109" i="14" s="1"/>
  <c r="G109" i="1"/>
  <c r="G108" i="14" s="1"/>
  <c r="G114" i="1"/>
  <c r="G113" i="14" s="1"/>
  <c r="G118" i="1"/>
  <c r="G117" i="14" s="1"/>
  <c r="G127" i="1"/>
  <c r="G126" i="14" s="1"/>
  <c r="G126" i="1"/>
  <c r="G125" i="14" s="1"/>
  <c r="G125" i="1"/>
  <c r="G124" i="14" s="1"/>
  <c r="G136" i="1"/>
  <c r="G135" i="14" s="1"/>
  <c r="G134" i="1"/>
  <c r="G133" i="14" s="1"/>
  <c r="G133" i="1"/>
  <c r="G132" i="14" s="1"/>
  <c r="G132" i="1"/>
  <c r="G131" i="14" s="1"/>
  <c r="G131" i="1"/>
  <c r="G130" i="14" s="1"/>
  <c r="G123" i="1"/>
  <c r="G122" i="14" s="1"/>
  <c r="G122" i="1"/>
  <c r="G121" i="14" s="1"/>
  <c r="G121" i="1"/>
  <c r="G120" i="14" s="1"/>
  <c r="G117" i="1"/>
  <c r="G116" i="14" s="1"/>
  <c r="G115" i="1"/>
  <c r="G114" i="14" s="1"/>
  <c r="G113" i="1"/>
  <c r="G112" i="14" s="1"/>
  <c r="G108" i="1"/>
  <c r="G107" i="14" s="1"/>
  <c r="G100" i="1"/>
  <c r="G99" i="14" s="1"/>
  <c r="G97" i="1"/>
  <c r="G96" i="14" s="1"/>
  <c r="G95" i="1"/>
  <c r="G94" i="14" s="1"/>
  <c r="G87" i="1"/>
  <c r="G87" i="14" s="1"/>
  <c r="G80" i="1"/>
  <c r="G80" i="14" s="1"/>
  <c r="G78" i="1"/>
  <c r="G78" i="14" s="1"/>
  <c r="G77" i="1"/>
  <c r="G77" i="14" s="1"/>
  <c r="G73" i="1"/>
  <c r="G73" i="14" s="1"/>
  <c r="G71" i="1"/>
  <c r="G71" i="14" s="1"/>
  <c r="G62" i="1"/>
  <c r="G62" i="14" s="1"/>
  <c r="G61" i="1"/>
  <c r="G61" i="14" s="1"/>
  <c r="G59" i="1"/>
  <c r="G59" i="14" s="1"/>
  <c r="G58" i="1"/>
  <c r="G58" i="14" s="1"/>
  <c r="G52" i="1"/>
  <c r="G52" i="14" s="1"/>
  <c r="G50" i="1"/>
  <c r="G50" i="14" s="1"/>
  <c r="G48" i="1"/>
  <c r="G48" i="14" s="1"/>
  <c r="G46" i="14"/>
  <c r="G45" i="1"/>
  <c r="G45" i="14" s="1"/>
  <c r="G43" i="1"/>
  <c r="G43" i="14" s="1"/>
  <c r="G142" i="14"/>
  <c r="G141" i="14"/>
  <c r="G53" i="1" l="1"/>
  <c r="G51" i="1"/>
  <c r="G72" i="14"/>
  <c r="G53" i="14"/>
  <c r="G60" i="14"/>
  <c r="G51" i="14"/>
  <c r="G69" i="1"/>
  <c r="G69" i="14" s="1"/>
  <c r="G68" i="1"/>
  <c r="G68" i="14" s="1"/>
  <c r="G67" i="1"/>
  <c r="G67" i="14" s="1"/>
  <c r="G66" i="1"/>
  <c r="G66" i="14" s="1"/>
  <c r="G65" i="1"/>
  <c r="G65" i="14" s="1"/>
  <c r="G64" i="1"/>
  <c r="G64" i="14" s="1"/>
  <c r="G55" i="1"/>
  <c r="G55" i="14" s="1"/>
  <c r="G44" i="1"/>
  <c r="G44" i="14" s="1"/>
  <c r="G56" i="1"/>
  <c r="G56" i="14" s="1"/>
  <c r="G63" i="1"/>
  <c r="G63" i="14" s="1"/>
  <c r="G98" i="1"/>
  <c r="G97" i="14" s="1"/>
  <c r="G98" i="14" s="1"/>
  <c r="G116" i="1"/>
  <c r="G115" i="14" s="1"/>
  <c r="G128" i="1"/>
  <c r="G127" i="14" s="1"/>
  <c r="G124" i="1"/>
  <c r="G123" i="14" s="1"/>
  <c r="G119" i="1"/>
  <c r="G118" i="14" s="1"/>
  <c r="G137" i="1"/>
  <c r="G136" i="14" s="1"/>
  <c r="G119" i="14" l="1"/>
  <c r="G70" i="14"/>
  <c r="G14" i="1"/>
  <c r="G13" i="1"/>
  <c r="G10" i="1"/>
  <c r="G9" i="1"/>
  <c r="G8" i="1"/>
  <c r="G6" i="1"/>
  <c r="G5" i="1"/>
  <c r="G17" i="1" l="1"/>
  <c r="G12" i="1"/>
  <c r="G7" i="1"/>
  <c r="G16" i="14"/>
  <c r="G15" i="14"/>
  <c r="G14" i="14"/>
  <c r="G13" i="14"/>
  <c r="G11" i="14"/>
  <c r="G10" i="14"/>
  <c r="G9" i="14"/>
  <c r="G8" i="14"/>
  <c r="G18" i="1" l="1"/>
  <c r="G12" i="14"/>
  <c r="G17" i="14"/>
  <c r="G130" i="1"/>
  <c r="G129" i="14" s="1"/>
  <c r="G32" i="1"/>
  <c r="G32" i="14" s="1"/>
  <c r="G25" i="1"/>
  <c r="G25" i="14" s="1"/>
  <c r="G23" i="1"/>
  <c r="G23" i="14" s="1"/>
  <c r="G21" i="1"/>
  <c r="G21" i="14" s="1"/>
  <c r="G30" i="1" l="1"/>
  <c r="G30" i="14" s="1"/>
  <c r="G6" i="14" l="1"/>
  <c r="G5" i="14"/>
  <c r="G7" i="14" l="1"/>
  <c r="G18" i="14" s="1"/>
  <c r="G38" i="1"/>
  <c r="G38" i="14" s="1"/>
  <c r="G60" i="1"/>
  <c r="G70" i="1"/>
  <c r="G72" i="1"/>
  <c r="G120" i="1"/>
  <c r="G47" i="1"/>
  <c r="G129" i="1"/>
  <c r="G128" i="14" s="1"/>
  <c r="F58" i="1"/>
  <c r="I58" i="1" s="1"/>
  <c r="F59" i="1"/>
  <c r="I59" i="1" s="1"/>
  <c r="F61" i="1"/>
  <c r="I61" i="1" s="1"/>
  <c r="F62" i="1"/>
  <c r="I62" i="1" s="1"/>
  <c r="F63" i="1"/>
  <c r="I63" i="1" s="1"/>
  <c r="F64" i="1"/>
  <c r="I64" i="1" s="1"/>
  <c r="F65" i="1"/>
  <c r="I65" i="1" s="1"/>
  <c r="F66" i="1"/>
  <c r="I66" i="1" s="1"/>
  <c r="F67" i="1"/>
  <c r="I67" i="1" s="1"/>
  <c r="F68" i="1"/>
  <c r="I68" i="1" s="1"/>
  <c r="F69" i="1"/>
  <c r="I69" i="1" s="1"/>
  <c r="F71" i="1"/>
  <c r="F73" i="1"/>
  <c r="I73" i="1" s="1"/>
  <c r="F74" i="1"/>
  <c r="I74" i="1" s="1"/>
  <c r="F75" i="1"/>
  <c r="I75" i="1" s="1"/>
  <c r="F76" i="1"/>
  <c r="I76" i="1" s="1"/>
  <c r="F77" i="1"/>
  <c r="I77" i="1" s="1"/>
  <c r="F78" i="1"/>
  <c r="I78" i="1" s="1"/>
  <c r="F80" i="1"/>
  <c r="I80" i="1" s="1"/>
  <c r="F81" i="1"/>
  <c r="I81" i="1" s="1"/>
  <c r="F82" i="1"/>
  <c r="I82" i="1" s="1"/>
  <c r="F83" i="1"/>
  <c r="I83" i="1" s="1"/>
  <c r="F84" i="1"/>
  <c r="I84" i="1" s="1"/>
  <c r="F85" i="1"/>
  <c r="I85" i="1" s="1"/>
  <c r="F86" i="1"/>
  <c r="I86" i="1" s="1"/>
  <c r="F87" i="1"/>
  <c r="I87" i="1" s="1"/>
  <c r="F89" i="1"/>
  <c r="I89" i="1" s="1"/>
  <c r="F90" i="1"/>
  <c r="I90" i="1" s="1"/>
  <c r="F92" i="1"/>
  <c r="I92" i="1" s="1"/>
  <c r="F93" i="1"/>
  <c r="I93" i="1" s="1"/>
  <c r="F94" i="1"/>
  <c r="I94" i="1" s="1"/>
  <c r="F95" i="1"/>
  <c r="I95" i="1" s="1"/>
  <c r="F96" i="1"/>
  <c r="I96" i="1" s="1"/>
  <c r="F97" i="1"/>
  <c r="I97" i="1" s="1"/>
  <c r="F98" i="1"/>
  <c r="I98" i="1" s="1"/>
  <c r="F100" i="1"/>
  <c r="I100" i="1" s="1"/>
  <c r="F101" i="1"/>
  <c r="I101" i="1" s="1"/>
  <c r="F102" i="1"/>
  <c r="I102" i="1" s="1"/>
  <c r="F103" i="1"/>
  <c r="I103" i="1" s="1"/>
  <c r="F104" i="1"/>
  <c r="I104" i="1" s="1"/>
  <c r="F105" i="1"/>
  <c r="I105" i="1" s="1"/>
  <c r="F106" i="1"/>
  <c r="I106" i="1" s="1"/>
  <c r="F107" i="1"/>
  <c r="I107" i="1" s="1"/>
  <c r="F108" i="1"/>
  <c r="I108" i="1" s="1"/>
  <c r="F109" i="1"/>
  <c r="I109" i="1" s="1"/>
  <c r="F110" i="1"/>
  <c r="I110" i="1" s="1"/>
  <c r="F111" i="1"/>
  <c r="I111" i="1" s="1"/>
  <c r="F112" i="1"/>
  <c r="I112" i="1" s="1"/>
  <c r="F113" i="1"/>
  <c r="I113" i="1" s="1"/>
  <c r="F114" i="1"/>
  <c r="I114" i="1" s="1"/>
  <c r="F115" i="1"/>
  <c r="I115" i="1" s="1"/>
  <c r="F116" i="1"/>
  <c r="I116" i="1" s="1"/>
  <c r="F117" i="1"/>
  <c r="I117" i="1" s="1"/>
  <c r="F118" i="1"/>
  <c r="I118" i="1" s="1"/>
  <c r="F119" i="1"/>
  <c r="I119" i="1" s="1"/>
  <c r="F121" i="1"/>
  <c r="I121" i="1" s="1"/>
  <c r="F122" i="1"/>
  <c r="I122" i="1" s="1"/>
  <c r="F123" i="1"/>
  <c r="I123" i="1" s="1"/>
  <c r="F124" i="1"/>
  <c r="I124" i="1" s="1"/>
  <c r="F125" i="1"/>
  <c r="I125" i="1" s="1"/>
  <c r="F126" i="1"/>
  <c r="I126" i="1" s="1"/>
  <c r="F127" i="1"/>
  <c r="I127" i="1" s="1"/>
  <c r="F128" i="1"/>
  <c r="I128" i="1" s="1"/>
  <c r="F129" i="1"/>
  <c r="F130" i="1"/>
  <c r="I130" i="1" s="1"/>
  <c r="F131" i="1"/>
  <c r="I131" i="1" s="1"/>
  <c r="F132" i="1"/>
  <c r="I132" i="1" s="1"/>
  <c r="F133" i="1"/>
  <c r="I133" i="1" s="1"/>
  <c r="F134" i="1"/>
  <c r="I134" i="1" s="1"/>
  <c r="F135" i="1"/>
  <c r="F136" i="1"/>
  <c r="I136" i="1" s="1"/>
  <c r="F137" i="1"/>
  <c r="I137" i="1" s="1"/>
  <c r="G99" i="1"/>
  <c r="G54" i="1"/>
  <c r="G135" i="1"/>
  <c r="G134" i="14" s="1"/>
  <c r="G19" i="1"/>
  <c r="G20" i="1"/>
  <c r="G20" i="14" s="1"/>
  <c r="G24" i="1"/>
  <c r="G19" i="14" l="1"/>
  <c r="G22" i="14" s="1"/>
  <c r="I19" i="1"/>
  <c r="I129" i="1"/>
  <c r="I135" i="1"/>
  <c r="F72" i="1"/>
  <c r="I72" i="1" s="1"/>
  <c r="I71" i="1"/>
  <c r="G137" i="14"/>
  <c r="G57" i="1"/>
  <c r="G54" i="14"/>
  <c r="G49" i="1"/>
  <c r="G47" i="14"/>
  <c r="G49" i="14" s="1"/>
  <c r="G26" i="1"/>
  <c r="G24" i="14"/>
  <c r="G26" i="14" s="1"/>
  <c r="F60" i="1"/>
  <c r="I60" i="1" s="1"/>
  <c r="G138" i="1"/>
  <c r="G22" i="1"/>
  <c r="F70" i="1"/>
  <c r="I70" i="1" s="1"/>
  <c r="F138" i="1"/>
  <c r="F120" i="1"/>
  <c r="I120" i="1" s="1"/>
  <c r="F99" i="1"/>
  <c r="I99" i="1" s="1"/>
  <c r="I138" i="1" l="1"/>
  <c r="G139" i="1"/>
  <c r="G57" i="14"/>
  <c r="G27" i="14"/>
  <c r="G28" i="14" s="1"/>
  <c r="G27" i="1"/>
  <c r="G28" i="1" s="1"/>
  <c r="G138" i="14" l="1"/>
  <c r="G35" i="1" l="1"/>
  <c r="G39" i="14"/>
  <c r="G40" i="1" l="1"/>
  <c r="G36" i="1"/>
  <c r="G37" i="1" s="1"/>
  <c r="G35" i="14"/>
  <c r="D30" i="14"/>
  <c r="G41" i="1" l="1"/>
  <c r="G36" i="14"/>
  <c r="G37" i="14" s="1"/>
  <c r="G40" i="14"/>
  <c r="L51" i="10"/>
  <c r="O51" i="10"/>
  <c r="P51" i="10"/>
  <c r="U210" i="5"/>
  <c r="G41" i="14" l="1"/>
  <c r="D23" i="14" l="1"/>
  <c r="D24" i="14"/>
  <c r="D25" i="14"/>
  <c r="D29" i="14"/>
  <c r="D31" i="14"/>
  <c r="D32" i="14"/>
  <c r="D34" i="14"/>
  <c r="D35" i="14"/>
  <c r="D78" i="14"/>
  <c r="D94" i="14"/>
  <c r="D95" i="14"/>
  <c r="D96" i="14"/>
  <c r="D97" i="14"/>
  <c r="D112" i="14"/>
  <c r="D113" i="14"/>
  <c r="D120" i="14"/>
  <c r="D121" i="14"/>
  <c r="D122" i="14"/>
  <c r="D123" i="14"/>
  <c r="D125" i="14"/>
  <c r="D126" i="14"/>
  <c r="D127" i="14"/>
  <c r="D128" i="14"/>
  <c r="D129" i="14"/>
  <c r="D130" i="14"/>
  <c r="D131" i="14"/>
  <c r="D134" i="14"/>
  <c r="D136" i="14"/>
  <c r="D132" i="14"/>
  <c r="D133" i="14"/>
  <c r="F25" i="1" l="1"/>
  <c r="I25" i="1" s="1"/>
  <c r="F54" i="1" l="1"/>
  <c r="I54" i="1" s="1"/>
  <c r="D49" i="1"/>
  <c r="D138" i="1"/>
  <c r="O10" i="10" l="1"/>
  <c r="P31" i="1" l="1"/>
  <c r="D140" i="14"/>
  <c r="D139" i="14"/>
  <c r="F29" i="14"/>
  <c r="I29" i="14" s="1"/>
  <c r="F16" i="14"/>
  <c r="I16" i="14" s="1"/>
  <c r="F15" i="14"/>
  <c r="I15" i="14" s="1"/>
  <c r="D71" i="14"/>
  <c r="D59" i="14"/>
  <c r="D58" i="14"/>
  <c r="D50" i="14"/>
  <c r="D43" i="14"/>
  <c r="D39" i="14"/>
  <c r="D38" i="14"/>
  <c r="D21" i="14"/>
  <c r="D20" i="14"/>
  <c r="D19" i="14"/>
  <c r="D16" i="14"/>
  <c r="D15" i="14"/>
  <c r="D14" i="14"/>
  <c r="D10" i="14"/>
  <c r="D9" i="14"/>
  <c r="D8" i="14"/>
  <c r="D6" i="14"/>
  <c r="D5" i="14"/>
  <c r="K29" i="14" l="1"/>
  <c r="E137" i="14"/>
  <c r="D137" i="14"/>
  <c r="E119" i="14"/>
  <c r="D119" i="14"/>
  <c r="E98" i="14"/>
  <c r="D98" i="14"/>
  <c r="E72" i="14"/>
  <c r="D72" i="14"/>
  <c r="E70" i="14"/>
  <c r="D70" i="14"/>
  <c r="E66" i="14"/>
  <c r="E60" i="14"/>
  <c r="D60" i="14"/>
  <c r="E57" i="14"/>
  <c r="D57" i="14"/>
  <c r="E53" i="14"/>
  <c r="D53" i="14"/>
  <c r="E51" i="14"/>
  <c r="D51" i="14"/>
  <c r="E49" i="14"/>
  <c r="D49" i="14"/>
  <c r="J42" i="14"/>
  <c r="E40" i="14"/>
  <c r="E141" i="14" s="1"/>
  <c r="D40" i="14"/>
  <c r="E36" i="14"/>
  <c r="D36" i="14"/>
  <c r="J29" i="14"/>
  <c r="E26" i="14"/>
  <c r="D26" i="14"/>
  <c r="E22" i="14"/>
  <c r="D22" i="14"/>
  <c r="E17" i="14"/>
  <c r="D17" i="14"/>
  <c r="J16" i="14"/>
  <c r="J15" i="14"/>
  <c r="E12" i="14"/>
  <c r="D12" i="14"/>
  <c r="E7" i="14"/>
  <c r="D7" i="14"/>
  <c r="E138" i="14" l="1"/>
  <c r="E18" i="14"/>
  <c r="E27" i="14"/>
  <c r="D138" i="14"/>
  <c r="D27" i="14"/>
  <c r="D18" i="14"/>
  <c r="D28" i="14" l="1"/>
  <c r="E28" i="14"/>
  <c r="E37" i="14" s="1"/>
  <c r="E41" i="14" s="1"/>
  <c r="D37" i="14" l="1"/>
  <c r="D41" i="14" s="1"/>
  <c r="M2" i="5" l="1"/>
  <c r="M3" i="5"/>
  <c r="M4" i="5"/>
  <c r="M5" i="5"/>
  <c r="M6" i="5"/>
  <c r="M7" i="5"/>
  <c r="M8" i="5"/>
  <c r="M9" i="5"/>
  <c r="M10" i="5"/>
  <c r="M11" i="5"/>
  <c r="M12" i="5"/>
  <c r="M13" i="5"/>
  <c r="M14" i="5"/>
  <c r="M15" i="5"/>
  <c r="M197" i="5"/>
  <c r="M100" i="5"/>
  <c r="M18" i="5"/>
  <c r="M102" i="5"/>
  <c r="M104" i="5"/>
  <c r="M21" i="5"/>
  <c r="M22" i="5"/>
  <c r="M16" i="5"/>
  <c r="M105" i="5"/>
  <c r="M25" i="5"/>
  <c r="M26" i="5"/>
  <c r="M27" i="5"/>
  <c r="M28" i="5"/>
  <c r="M29" i="5"/>
  <c r="M30" i="5"/>
  <c r="M31" i="5"/>
  <c r="M417" i="5"/>
  <c r="M33" i="5"/>
  <c r="M34" i="5"/>
  <c r="M35" i="5"/>
  <c r="M36" i="5"/>
  <c r="M37" i="5"/>
  <c r="M38" i="5"/>
  <c r="M39" i="5"/>
  <c r="M40" i="5"/>
  <c r="M419" i="5"/>
  <c r="M42" i="5"/>
  <c r="M43" i="5"/>
  <c r="M44" i="5"/>
  <c r="M45" i="5"/>
  <c r="M46" i="5"/>
  <c r="M47" i="5"/>
  <c r="M48" i="5"/>
  <c r="M49" i="5"/>
  <c r="M50" i="5"/>
  <c r="M51" i="5"/>
  <c r="M52" i="5"/>
  <c r="M53" i="5"/>
  <c r="M54" i="5"/>
  <c r="M55" i="5"/>
  <c r="M17" i="5"/>
  <c r="M123" i="5"/>
  <c r="M58" i="5"/>
  <c r="M59" i="5"/>
  <c r="M60" i="5"/>
  <c r="M61" i="5"/>
  <c r="M62" i="5"/>
  <c r="M63" i="5"/>
  <c r="M64" i="5"/>
  <c r="M65" i="5"/>
  <c r="M66" i="5"/>
  <c r="M67" i="5"/>
  <c r="M68" i="5"/>
  <c r="M69" i="5"/>
  <c r="M70" i="5"/>
  <c r="M19" i="5"/>
  <c r="M125" i="5"/>
  <c r="M73" i="5"/>
  <c r="M74" i="5"/>
  <c r="M75" i="5"/>
  <c r="M76" i="5"/>
  <c r="M77" i="5"/>
  <c r="M78" i="5"/>
  <c r="M79" i="5"/>
  <c r="M80" i="5"/>
  <c r="M81" i="5"/>
  <c r="M82" i="5"/>
  <c r="M83" i="5"/>
  <c r="M84" i="5"/>
  <c r="M85" i="5"/>
  <c r="M86" i="5"/>
  <c r="M87" i="5"/>
  <c r="M20" i="5"/>
  <c r="M204" i="5"/>
  <c r="M90" i="5"/>
  <c r="M91" i="5"/>
  <c r="M92" i="5"/>
  <c r="M93" i="5"/>
  <c r="M94" i="5"/>
  <c r="M95" i="5"/>
  <c r="M96" i="5"/>
  <c r="M97" i="5"/>
  <c r="M98" i="5"/>
  <c r="M99" i="5"/>
  <c r="M23" i="5"/>
  <c r="M101" i="5"/>
  <c r="M126" i="5"/>
  <c r="M103" i="5"/>
  <c r="M155" i="5"/>
  <c r="M156" i="5"/>
  <c r="M106" i="5"/>
  <c r="M107" i="5"/>
  <c r="M108" i="5"/>
  <c r="M109" i="5"/>
  <c r="M110" i="5"/>
  <c r="M111" i="5"/>
  <c r="M112" i="5"/>
  <c r="M113" i="5"/>
  <c r="M114" i="5"/>
  <c r="M115" i="5"/>
  <c r="M116" i="5"/>
  <c r="M117" i="5"/>
  <c r="M118" i="5"/>
  <c r="M119" i="5"/>
  <c r="M120" i="5"/>
  <c r="M121" i="5"/>
  <c r="M122" i="5"/>
  <c r="M205" i="5"/>
  <c r="M124" i="5"/>
  <c r="M206" i="5"/>
  <c r="M157" i="5"/>
  <c r="M127" i="5"/>
  <c r="M128" i="5"/>
  <c r="M129" i="5"/>
  <c r="M130" i="5"/>
  <c r="M131" i="5"/>
  <c r="M575" i="5"/>
  <c r="M576" i="5"/>
  <c r="M142" i="5"/>
  <c r="M607" i="5"/>
  <c r="M136" i="5"/>
  <c r="M595" i="5"/>
  <c r="M578" i="5"/>
  <c r="M628" i="5"/>
  <c r="M608" i="5"/>
  <c r="M137" i="5"/>
  <c r="M629" i="5"/>
  <c r="M630" i="5"/>
  <c r="M144" i="5"/>
  <c r="M145" i="5"/>
  <c r="M146" i="5"/>
  <c r="M147" i="5"/>
  <c r="M148" i="5"/>
  <c r="M149" i="5"/>
  <c r="M150" i="5"/>
  <c r="M151" i="5"/>
  <c r="M152" i="5"/>
  <c r="M153" i="5"/>
  <c r="M154" i="5"/>
  <c r="M24" i="5"/>
  <c r="M207" i="5"/>
  <c r="M234" i="5"/>
  <c r="M237"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56" i="5"/>
  <c r="M158" i="5"/>
  <c r="M190" i="5"/>
  <c r="M193" i="5"/>
  <c r="M194" i="5"/>
  <c r="M195" i="5"/>
  <c r="M196" i="5"/>
  <c r="M191" i="5"/>
  <c r="M198" i="5"/>
  <c r="M199" i="5"/>
  <c r="M200" i="5"/>
  <c r="M201" i="5"/>
  <c r="M202" i="5"/>
  <c r="M203" i="5"/>
  <c r="M57" i="5"/>
  <c r="M267" i="5"/>
  <c r="M192" i="5"/>
  <c r="M272" i="5"/>
  <c r="M208" i="5"/>
  <c r="M209" i="5"/>
  <c r="M210" i="5"/>
  <c r="M211" i="5"/>
  <c r="M212" i="5"/>
  <c r="M213" i="5"/>
  <c r="M634" i="5"/>
  <c r="M215" i="5"/>
  <c r="M216" i="5"/>
  <c r="M217" i="5"/>
  <c r="M218" i="5"/>
  <c r="M219" i="5"/>
  <c r="M220" i="5"/>
  <c r="M221" i="5"/>
  <c r="M304" i="5"/>
  <c r="M223" i="5"/>
  <c r="M224" i="5"/>
  <c r="M225" i="5"/>
  <c r="M226" i="5"/>
  <c r="M227" i="5"/>
  <c r="M228" i="5"/>
  <c r="M229" i="5"/>
  <c r="M230" i="5"/>
  <c r="M231" i="5"/>
  <c r="M232" i="5"/>
  <c r="M233" i="5"/>
  <c r="M71" i="5"/>
  <c r="M235" i="5"/>
  <c r="M236" i="5"/>
  <c r="M295" i="5"/>
  <c r="M238" i="5"/>
  <c r="M239" i="5"/>
  <c r="M240" i="5"/>
  <c r="M241" i="5"/>
  <c r="M242" i="5"/>
  <c r="M243" i="5"/>
  <c r="M244" i="5"/>
  <c r="M245" i="5"/>
  <c r="M246" i="5"/>
  <c r="M247" i="5"/>
  <c r="M248" i="5"/>
  <c r="M249" i="5"/>
  <c r="M250" i="5"/>
  <c r="M251" i="5"/>
  <c r="M252" i="5"/>
  <c r="M253" i="5"/>
  <c r="M254" i="5"/>
  <c r="M255" i="5"/>
  <c r="M256" i="5"/>
  <c r="M257" i="5"/>
  <c r="M258" i="5"/>
  <c r="M259" i="5"/>
  <c r="M260" i="5"/>
  <c r="M261" i="5"/>
  <c r="M262" i="5"/>
  <c r="M263" i="5"/>
  <c r="M264" i="5"/>
  <c r="M265" i="5"/>
  <c r="M266" i="5"/>
  <c r="M72" i="5"/>
  <c r="M268" i="5"/>
  <c r="M269" i="5"/>
  <c r="M270" i="5"/>
  <c r="M271" i="5"/>
  <c r="M296" i="5"/>
  <c r="M273" i="5"/>
  <c r="M274" i="5"/>
  <c r="M275" i="5"/>
  <c r="M276" i="5"/>
  <c r="M277" i="5"/>
  <c r="M278" i="5"/>
  <c r="M279" i="5"/>
  <c r="M280" i="5"/>
  <c r="M281" i="5"/>
  <c r="M282" i="5"/>
  <c r="M283" i="5"/>
  <c r="M284" i="5"/>
  <c r="M285" i="5"/>
  <c r="M286" i="5"/>
  <c r="M287" i="5"/>
  <c r="M288" i="5"/>
  <c r="M289" i="5"/>
  <c r="M290" i="5"/>
  <c r="M291" i="5"/>
  <c r="M292" i="5"/>
  <c r="M293" i="5"/>
  <c r="M294" i="5"/>
  <c r="M88" i="5"/>
  <c r="M297" i="5"/>
  <c r="M298" i="5"/>
  <c r="M299" i="5"/>
  <c r="M300" i="5"/>
  <c r="M301" i="5"/>
  <c r="M302" i="5"/>
  <c r="M303" i="5"/>
  <c r="M542" i="5"/>
  <c r="M305" i="5"/>
  <c r="M306" i="5"/>
  <c r="M307" i="5"/>
  <c r="M308" i="5"/>
  <c r="M309" i="5"/>
  <c r="M310" i="5"/>
  <c r="M311" i="5"/>
  <c r="M312" i="5"/>
  <c r="M313" i="5"/>
  <c r="M314" i="5"/>
  <c r="M315" i="5"/>
  <c r="M316" i="5"/>
  <c r="M317" i="5"/>
  <c r="M318" i="5"/>
  <c r="M319" i="5"/>
  <c r="M320" i="5"/>
  <c r="M321" i="5"/>
  <c r="M322" i="5"/>
  <c r="M323" i="5"/>
  <c r="M324" i="5"/>
  <c r="M325" i="5"/>
  <c r="M326" i="5"/>
  <c r="M327" i="5"/>
  <c r="M328" i="5"/>
  <c r="M329" i="5"/>
  <c r="M330" i="5"/>
  <c r="M331" i="5"/>
  <c r="M332" i="5"/>
  <c r="M333" i="5"/>
  <c r="M334" i="5"/>
  <c r="M335" i="5"/>
  <c r="M336" i="5"/>
  <c r="M337" i="5"/>
  <c r="M338" i="5"/>
  <c r="M339" i="5"/>
  <c r="M340" i="5"/>
  <c r="M341" i="5"/>
  <c r="M342" i="5"/>
  <c r="M343" i="5"/>
  <c r="M344" i="5"/>
  <c r="M345" i="5"/>
  <c r="M346" i="5"/>
  <c r="M347" i="5"/>
  <c r="M348" i="5"/>
  <c r="M349" i="5"/>
  <c r="M350" i="5"/>
  <c r="M351" i="5"/>
  <c r="M352" i="5"/>
  <c r="M353" i="5"/>
  <c r="M354" i="5"/>
  <c r="M355" i="5"/>
  <c r="M356" i="5"/>
  <c r="M357" i="5"/>
  <c r="M358" i="5"/>
  <c r="M359" i="5"/>
  <c r="M360" i="5"/>
  <c r="M361" i="5"/>
  <c r="M1384" i="5"/>
  <c r="M363" i="5"/>
  <c r="M364" i="5"/>
  <c r="M365" i="5"/>
  <c r="M1387" i="5"/>
  <c r="M367" i="5"/>
  <c r="M368" i="5"/>
  <c r="M369" i="5"/>
  <c r="M370" i="5"/>
  <c r="M371" i="5"/>
  <c r="M372" i="5"/>
  <c r="M373" i="5"/>
  <c r="M374" i="5"/>
  <c r="M375" i="5"/>
  <c r="M376" i="5"/>
  <c r="M377" i="5"/>
  <c r="M378" i="5"/>
  <c r="M379" i="5"/>
  <c r="M380" i="5"/>
  <c r="M381" i="5"/>
  <c r="M382" i="5"/>
  <c r="M383" i="5"/>
  <c r="M384" i="5"/>
  <c r="M385" i="5"/>
  <c r="M386" i="5"/>
  <c r="M387" i="5"/>
  <c r="M388" i="5"/>
  <c r="M389" i="5"/>
  <c r="M390" i="5"/>
  <c r="M391" i="5"/>
  <c r="M392" i="5"/>
  <c r="M393" i="5"/>
  <c r="M394" i="5"/>
  <c r="M395" i="5"/>
  <c r="M396" i="5"/>
  <c r="M397" i="5"/>
  <c r="M398" i="5"/>
  <c r="M399" i="5"/>
  <c r="M400" i="5"/>
  <c r="M401" i="5"/>
  <c r="M402" i="5"/>
  <c r="M403" i="5"/>
  <c r="M404" i="5"/>
  <c r="M405" i="5"/>
  <c r="M406" i="5"/>
  <c r="M407" i="5"/>
  <c r="M408" i="5"/>
  <c r="M409" i="5"/>
  <c r="M410" i="5"/>
  <c r="M411" i="5"/>
  <c r="M412" i="5"/>
  <c r="M413" i="5"/>
  <c r="M414" i="5"/>
  <c r="M415" i="5"/>
  <c r="M416" i="5"/>
  <c r="M32" i="5"/>
  <c r="M418" i="5"/>
  <c r="M41" i="5"/>
  <c r="M420" i="5"/>
  <c r="M421" i="5"/>
  <c r="M422" i="5"/>
  <c r="M423" i="5"/>
  <c r="M424" i="5"/>
  <c r="M425" i="5"/>
  <c r="M426" i="5"/>
  <c r="M427" i="5"/>
  <c r="M428" i="5"/>
  <c r="M429" i="5"/>
  <c r="M430" i="5"/>
  <c r="M431" i="5"/>
  <c r="M432" i="5"/>
  <c r="M433" i="5"/>
  <c r="M434" i="5"/>
  <c r="M435" i="5"/>
  <c r="M436" i="5"/>
  <c r="M437" i="5"/>
  <c r="M438" i="5"/>
  <c r="M439" i="5"/>
  <c r="M440" i="5"/>
  <c r="M441" i="5"/>
  <c r="M442" i="5"/>
  <c r="M443" i="5"/>
  <c r="M444" i="5"/>
  <c r="M445" i="5"/>
  <c r="M446" i="5"/>
  <c r="M447" i="5"/>
  <c r="M448" i="5"/>
  <c r="M449" i="5"/>
  <c r="M450" i="5"/>
  <c r="M451" i="5"/>
  <c r="M452" i="5"/>
  <c r="M453" i="5"/>
  <c r="M454" i="5"/>
  <c r="M455" i="5"/>
  <c r="M456" i="5"/>
  <c r="M457" i="5"/>
  <c r="M458" i="5"/>
  <c r="M459" i="5"/>
  <c r="M460" i="5"/>
  <c r="M461" i="5"/>
  <c r="M462" i="5"/>
  <c r="M463" i="5"/>
  <c r="M464" i="5"/>
  <c r="M465" i="5"/>
  <c r="M466" i="5"/>
  <c r="M467" i="5"/>
  <c r="M468" i="5"/>
  <c r="M469" i="5"/>
  <c r="M470" i="5"/>
  <c r="M471" i="5"/>
  <c r="M472" i="5"/>
  <c r="M473" i="5"/>
  <c r="M474" i="5"/>
  <c r="M475" i="5"/>
  <c r="M476" i="5"/>
  <c r="M477" i="5"/>
  <c r="M478" i="5"/>
  <c r="M479" i="5"/>
  <c r="M480" i="5"/>
  <c r="M481" i="5"/>
  <c r="M482" i="5"/>
  <c r="M483" i="5"/>
  <c r="M484" i="5"/>
  <c r="M485" i="5"/>
  <c r="M486" i="5"/>
  <c r="M487" i="5"/>
  <c r="M488" i="5"/>
  <c r="M489" i="5"/>
  <c r="M490" i="5"/>
  <c r="M491" i="5"/>
  <c r="M492" i="5"/>
  <c r="M493" i="5"/>
  <c r="M494" i="5"/>
  <c r="M495" i="5"/>
  <c r="M496" i="5"/>
  <c r="M497" i="5"/>
  <c r="M498" i="5"/>
  <c r="M499" i="5"/>
  <c r="M500" i="5"/>
  <c r="M501" i="5"/>
  <c r="M502" i="5"/>
  <c r="M503" i="5"/>
  <c r="M504" i="5"/>
  <c r="M505" i="5"/>
  <c r="M506" i="5"/>
  <c r="M507" i="5"/>
  <c r="M508" i="5"/>
  <c r="M509" i="5"/>
  <c r="M510" i="5"/>
  <c r="M511" i="5"/>
  <c r="M512" i="5"/>
  <c r="M513" i="5"/>
  <c r="M514" i="5"/>
  <c r="M515" i="5"/>
  <c r="M516" i="5"/>
  <c r="M517" i="5"/>
  <c r="M518" i="5"/>
  <c r="M519" i="5"/>
  <c r="M520" i="5"/>
  <c r="M521" i="5"/>
  <c r="M522" i="5"/>
  <c r="M523" i="5"/>
  <c r="M524" i="5"/>
  <c r="M525" i="5"/>
  <c r="M526" i="5"/>
  <c r="M527" i="5"/>
  <c r="M528" i="5"/>
  <c r="M529" i="5"/>
  <c r="M530" i="5"/>
  <c r="M531" i="5"/>
  <c r="M532" i="5"/>
  <c r="M533" i="5"/>
  <c r="M534" i="5"/>
  <c r="M535" i="5"/>
  <c r="M536" i="5"/>
  <c r="M537" i="5"/>
  <c r="M538" i="5"/>
  <c r="M539" i="5"/>
  <c r="M540" i="5"/>
  <c r="M541" i="5"/>
  <c r="M1388" i="5"/>
  <c r="M1389" i="5"/>
  <c r="M544" i="5"/>
  <c r="M545" i="5"/>
  <c r="M546" i="5"/>
  <c r="M547" i="5"/>
  <c r="M548" i="5"/>
  <c r="M549" i="5"/>
  <c r="M550" i="5"/>
  <c r="M551" i="5"/>
  <c r="M552" i="5"/>
  <c r="M553" i="5"/>
  <c r="M554" i="5"/>
  <c r="M555" i="5"/>
  <c r="M556" i="5"/>
  <c r="M557" i="5"/>
  <c r="M558" i="5"/>
  <c r="M559" i="5"/>
  <c r="M560" i="5"/>
  <c r="M561" i="5"/>
  <c r="M562" i="5"/>
  <c r="M563" i="5"/>
  <c r="M564" i="5"/>
  <c r="M565" i="5"/>
  <c r="M566" i="5"/>
  <c r="M567" i="5"/>
  <c r="M568" i="5"/>
  <c r="M569" i="5"/>
  <c r="M570" i="5"/>
  <c r="M571" i="5"/>
  <c r="M133" i="5"/>
  <c r="M134" i="5"/>
  <c r="M135" i="5"/>
  <c r="M619" i="5"/>
  <c r="M614" i="5"/>
  <c r="M596" i="5"/>
  <c r="M579" i="5"/>
  <c r="M609" i="5"/>
  <c r="M580" i="5"/>
  <c r="M581" i="5"/>
  <c r="M582" i="5"/>
  <c r="M611" i="5"/>
  <c r="M583" i="5"/>
  <c r="M584" i="5"/>
  <c r="M618" i="5"/>
  <c r="M132" i="5"/>
  <c r="M598" i="5"/>
  <c r="M585" i="5"/>
  <c r="M599" i="5"/>
  <c r="M615" i="5"/>
  <c r="M586" i="5"/>
  <c r="M587" i="5"/>
  <c r="M588" i="5"/>
  <c r="M589" i="5"/>
  <c r="M590" i="5"/>
  <c r="M616" i="5"/>
  <c r="M617" i="5"/>
  <c r="M591" i="5"/>
  <c r="M626" i="5"/>
  <c r="M613" i="5"/>
  <c r="M605" i="5"/>
  <c r="M600" i="5"/>
  <c r="M612" i="5"/>
  <c r="M592" i="5"/>
  <c r="M606" i="5"/>
  <c r="M594" i="5"/>
  <c r="M620" i="5"/>
  <c r="M601" i="5"/>
  <c r="M602" i="5"/>
  <c r="M603" i="5"/>
  <c r="M577" i="5"/>
  <c r="M143" i="5"/>
  <c r="M572" i="5"/>
  <c r="M573" i="5"/>
  <c r="M574" i="5"/>
  <c r="M623" i="5"/>
  <c r="M624" i="5"/>
  <c r="M631" i="5"/>
  <c r="M627" i="5"/>
  <c r="M593" i="5"/>
  <c r="M604" i="5"/>
  <c r="M621" i="5"/>
  <c r="M622" i="5"/>
  <c r="M632" i="5"/>
  <c r="M633" i="5"/>
  <c r="M625" i="5"/>
  <c r="M138" i="5"/>
  <c r="M139" i="5"/>
  <c r="M597" i="5"/>
  <c r="M140" i="5"/>
  <c r="M141" i="5"/>
  <c r="M1293" i="5"/>
  <c r="M362" i="5"/>
  <c r="M649" i="5"/>
  <c r="M656" i="5"/>
  <c r="M1294" i="5"/>
  <c r="M1295" i="5"/>
  <c r="M1296" i="5"/>
  <c r="M1297" i="5"/>
  <c r="M1298" i="5"/>
  <c r="M214" i="5"/>
  <c r="M636" i="5"/>
  <c r="M637" i="5"/>
  <c r="M638" i="5"/>
  <c r="M648" i="5"/>
  <c r="M639" i="5"/>
  <c r="M640" i="5"/>
  <c r="M366" i="5"/>
  <c r="M642" i="5"/>
  <c r="M643" i="5"/>
  <c r="M644" i="5"/>
  <c r="M645" i="5"/>
  <c r="M646" i="5"/>
  <c r="M647" i="5"/>
  <c r="M657" i="5"/>
  <c r="M658" i="5"/>
  <c r="M659" i="5"/>
  <c r="M660" i="5"/>
  <c r="M1289" i="5"/>
  <c r="M661" i="5"/>
  <c r="M1290" i="5"/>
  <c r="M1291" i="5"/>
  <c r="M1292" i="5"/>
  <c r="M666" i="5"/>
  <c r="M667" i="5"/>
  <c r="M668" i="5"/>
  <c r="M669" i="5"/>
  <c r="M670" i="5"/>
  <c r="M671" i="5"/>
  <c r="M672" i="5"/>
  <c r="M673" i="5"/>
  <c r="M674" i="5"/>
  <c r="M675" i="5"/>
  <c r="M676" i="5"/>
  <c r="M677" i="5"/>
  <c r="M678" i="5"/>
  <c r="M679" i="5"/>
  <c r="M680" i="5"/>
  <c r="M681" i="5"/>
  <c r="M682" i="5"/>
  <c r="M683" i="5"/>
  <c r="M684" i="5"/>
  <c r="M685" i="5"/>
  <c r="M686" i="5"/>
  <c r="M687" i="5"/>
  <c r="M688" i="5"/>
  <c r="M689" i="5"/>
  <c r="M690" i="5"/>
  <c r="M691" i="5"/>
  <c r="M692" i="5"/>
  <c r="M693" i="5"/>
  <c r="M694" i="5"/>
  <c r="M695" i="5"/>
  <c r="M696" i="5"/>
  <c r="M697" i="5"/>
  <c r="M698" i="5"/>
  <c r="M699" i="5"/>
  <c r="M700" i="5"/>
  <c r="M701" i="5"/>
  <c r="M702" i="5"/>
  <c r="M703" i="5"/>
  <c r="M704" i="5"/>
  <c r="M705" i="5"/>
  <c r="M706" i="5"/>
  <c r="M707" i="5"/>
  <c r="M708" i="5"/>
  <c r="M709" i="5"/>
  <c r="M710" i="5"/>
  <c r="M711" i="5"/>
  <c r="M712" i="5"/>
  <c r="M713" i="5"/>
  <c r="M714" i="5"/>
  <c r="M715" i="5"/>
  <c r="M716" i="5"/>
  <c r="M717" i="5"/>
  <c r="M718" i="5"/>
  <c r="M719" i="5"/>
  <c r="M720" i="5"/>
  <c r="M721" i="5"/>
  <c r="M722" i="5"/>
  <c r="M723" i="5"/>
  <c r="M724" i="5"/>
  <c r="M725" i="5"/>
  <c r="M726" i="5"/>
  <c r="M727" i="5"/>
  <c r="M728" i="5"/>
  <c r="M729" i="5"/>
  <c r="M730" i="5"/>
  <c r="M731" i="5"/>
  <c r="M732" i="5"/>
  <c r="M733" i="5"/>
  <c r="M734" i="5"/>
  <c r="M735" i="5"/>
  <c r="M736" i="5"/>
  <c r="M737" i="5"/>
  <c r="M738" i="5"/>
  <c r="M739" i="5"/>
  <c r="M740" i="5"/>
  <c r="M741" i="5"/>
  <c r="M742" i="5"/>
  <c r="M743" i="5"/>
  <c r="M744" i="5"/>
  <c r="M745" i="5"/>
  <c r="M746" i="5"/>
  <c r="M747" i="5"/>
  <c r="M748" i="5"/>
  <c r="M749" i="5"/>
  <c r="M750" i="5"/>
  <c r="M751" i="5"/>
  <c r="M752" i="5"/>
  <c r="M753" i="5"/>
  <c r="M754" i="5"/>
  <c r="M755" i="5"/>
  <c r="M756" i="5"/>
  <c r="M757" i="5"/>
  <c r="M758" i="5"/>
  <c r="M759" i="5"/>
  <c r="M760" i="5"/>
  <c r="M761" i="5"/>
  <c r="M762" i="5"/>
  <c r="M763" i="5"/>
  <c r="M764" i="5"/>
  <c r="M765" i="5"/>
  <c r="M766" i="5"/>
  <c r="M767" i="5"/>
  <c r="M768" i="5"/>
  <c r="M769" i="5"/>
  <c r="M770" i="5"/>
  <c r="M771" i="5"/>
  <c r="M772" i="5"/>
  <c r="M773" i="5"/>
  <c r="M774" i="5"/>
  <c r="M775" i="5"/>
  <c r="M776" i="5"/>
  <c r="M777" i="5"/>
  <c r="M778" i="5"/>
  <c r="M779" i="5"/>
  <c r="M780" i="5"/>
  <c r="M781" i="5"/>
  <c r="M782" i="5"/>
  <c r="M783" i="5"/>
  <c r="M784" i="5"/>
  <c r="M785" i="5"/>
  <c r="M786" i="5"/>
  <c r="M787" i="5"/>
  <c r="M788" i="5"/>
  <c r="M789" i="5"/>
  <c r="M790" i="5"/>
  <c r="M791" i="5"/>
  <c r="M792" i="5"/>
  <c r="M793" i="5"/>
  <c r="M794" i="5"/>
  <c r="M795" i="5"/>
  <c r="M796" i="5"/>
  <c r="M797" i="5"/>
  <c r="M798" i="5"/>
  <c r="M799" i="5"/>
  <c r="M800" i="5"/>
  <c r="M222" i="5"/>
  <c r="M802" i="5"/>
  <c r="M803" i="5"/>
  <c r="M804" i="5"/>
  <c r="M805" i="5"/>
  <c r="M806" i="5"/>
  <c r="M807" i="5"/>
  <c r="M808" i="5"/>
  <c r="M809" i="5"/>
  <c r="M810" i="5"/>
  <c r="M811" i="5"/>
  <c r="M812" i="5"/>
  <c r="M813" i="5"/>
  <c r="M814" i="5"/>
  <c r="M815" i="5"/>
  <c r="M816" i="5"/>
  <c r="M817" i="5"/>
  <c r="M818" i="5"/>
  <c r="M819" i="5"/>
  <c r="M820" i="5"/>
  <c r="M821" i="5"/>
  <c r="M822" i="5"/>
  <c r="M823" i="5"/>
  <c r="M824" i="5"/>
  <c r="M825" i="5"/>
  <c r="M826" i="5"/>
  <c r="M827" i="5"/>
  <c r="M828" i="5"/>
  <c r="M829" i="5"/>
  <c r="M830" i="5"/>
  <c r="M831" i="5"/>
  <c r="M832" i="5"/>
  <c r="M833" i="5"/>
  <c r="M834" i="5"/>
  <c r="M835" i="5"/>
  <c r="M836" i="5"/>
  <c r="M837" i="5"/>
  <c r="M838" i="5"/>
  <c r="M839" i="5"/>
  <c r="M840" i="5"/>
  <c r="M841" i="5"/>
  <c r="M842" i="5"/>
  <c r="M843" i="5"/>
  <c r="M845" i="5"/>
  <c r="M846" i="5"/>
  <c r="M847" i="5"/>
  <c r="M848" i="5"/>
  <c r="M849" i="5"/>
  <c r="M850" i="5"/>
  <c r="M851" i="5"/>
  <c r="M852" i="5"/>
  <c r="M853" i="5"/>
  <c r="M854" i="5"/>
  <c r="F110" i="14" l="1"/>
  <c r="I110" i="14" s="1"/>
  <c r="U627" i="5"/>
  <c r="U604" i="5"/>
  <c r="J110" i="14" l="1"/>
  <c r="K110" i="14"/>
  <c r="D2" i="5" l="1"/>
  <c r="D3" i="5"/>
  <c r="D4" i="5"/>
  <c r="D5" i="5"/>
  <c r="D6" i="5"/>
  <c r="D7" i="5"/>
  <c r="D8" i="5"/>
  <c r="D9" i="5"/>
  <c r="D10" i="5"/>
  <c r="D11" i="5"/>
  <c r="D12" i="5"/>
  <c r="D13" i="5"/>
  <c r="D14" i="5"/>
  <c r="D15" i="5"/>
  <c r="D197" i="5"/>
  <c r="D100" i="5"/>
  <c r="D18" i="5"/>
  <c r="D102" i="5"/>
  <c r="D104" i="5"/>
  <c r="D21" i="5"/>
  <c r="D22" i="5"/>
  <c r="D16" i="5"/>
  <c r="D105" i="5"/>
  <c r="D25" i="5"/>
  <c r="D26" i="5"/>
  <c r="D27" i="5"/>
  <c r="D28" i="5"/>
  <c r="D29" i="5"/>
  <c r="D30" i="5"/>
  <c r="D31" i="5"/>
  <c r="D417" i="5"/>
  <c r="D33" i="5"/>
  <c r="D34" i="5"/>
  <c r="D35" i="5"/>
  <c r="D36" i="5"/>
  <c r="D37" i="5"/>
  <c r="D38" i="5"/>
  <c r="D39" i="5"/>
  <c r="D40" i="5"/>
  <c r="D419" i="5"/>
  <c r="D42" i="5"/>
  <c r="D43" i="5"/>
  <c r="D44" i="5"/>
  <c r="D45" i="5"/>
  <c r="D46" i="5"/>
  <c r="D47" i="5"/>
  <c r="D48" i="5"/>
  <c r="D49" i="5"/>
  <c r="D50" i="5"/>
  <c r="D51" i="5"/>
  <c r="D52" i="5"/>
  <c r="D53" i="5"/>
  <c r="D54" i="5"/>
  <c r="D55" i="5"/>
  <c r="D17" i="5"/>
  <c r="D123" i="5"/>
  <c r="D58" i="5"/>
  <c r="D59" i="5"/>
  <c r="D60" i="5"/>
  <c r="D61" i="5"/>
  <c r="D62" i="5"/>
  <c r="D63" i="5"/>
  <c r="D64" i="5"/>
  <c r="D65" i="5"/>
  <c r="D66" i="5"/>
  <c r="D67" i="5"/>
  <c r="D68" i="5"/>
  <c r="D69" i="5"/>
  <c r="D70" i="5"/>
  <c r="D19" i="5"/>
  <c r="D125" i="5"/>
  <c r="D73" i="5"/>
  <c r="D74" i="5"/>
  <c r="D75" i="5"/>
  <c r="D76" i="5"/>
  <c r="D77" i="5"/>
  <c r="D78" i="5"/>
  <c r="D79" i="5"/>
  <c r="D80" i="5"/>
  <c r="D81" i="5"/>
  <c r="D82" i="5"/>
  <c r="D83" i="5"/>
  <c r="D84" i="5"/>
  <c r="D85" i="5"/>
  <c r="D86" i="5"/>
  <c r="D87" i="5"/>
  <c r="D20" i="5"/>
  <c r="D204" i="5"/>
  <c r="D90" i="5"/>
  <c r="D91" i="5"/>
  <c r="D92" i="5"/>
  <c r="D93" i="5"/>
  <c r="D94" i="5"/>
  <c r="D95" i="5"/>
  <c r="D96" i="5"/>
  <c r="D97" i="5"/>
  <c r="D98" i="5"/>
  <c r="D99" i="5"/>
  <c r="D23" i="5"/>
  <c r="D101" i="5"/>
  <c r="D126" i="5"/>
  <c r="D103" i="5"/>
  <c r="D155" i="5"/>
  <c r="D156" i="5"/>
  <c r="D106" i="5"/>
  <c r="D107" i="5"/>
  <c r="D108" i="5"/>
  <c r="D109" i="5"/>
  <c r="D110" i="5"/>
  <c r="D111" i="5"/>
  <c r="D112" i="5"/>
  <c r="D113" i="5"/>
  <c r="D114" i="5"/>
  <c r="D115" i="5"/>
  <c r="D116" i="5"/>
  <c r="D117" i="5"/>
  <c r="D118" i="5"/>
  <c r="D119" i="5"/>
  <c r="D120" i="5"/>
  <c r="D121" i="5"/>
  <c r="D122" i="5"/>
  <c r="D205" i="5"/>
  <c r="D124" i="5"/>
  <c r="D206" i="5"/>
  <c r="D157" i="5"/>
  <c r="D127" i="5"/>
  <c r="D128" i="5"/>
  <c r="D129" i="5"/>
  <c r="D130" i="5"/>
  <c r="D131" i="5"/>
  <c r="D575" i="5"/>
  <c r="D576" i="5"/>
  <c r="D142" i="5"/>
  <c r="D607" i="5"/>
  <c r="D136" i="5"/>
  <c r="D595" i="5"/>
  <c r="D578" i="5"/>
  <c r="D628" i="5"/>
  <c r="D608" i="5"/>
  <c r="D137" i="5"/>
  <c r="D629" i="5"/>
  <c r="D630" i="5"/>
  <c r="D144" i="5"/>
  <c r="D145" i="5"/>
  <c r="D146" i="5"/>
  <c r="D147" i="5"/>
  <c r="D148" i="5"/>
  <c r="D149" i="5"/>
  <c r="D150" i="5"/>
  <c r="D151" i="5"/>
  <c r="D152" i="5"/>
  <c r="D153" i="5"/>
  <c r="D154" i="5"/>
  <c r="D24" i="5"/>
  <c r="D207" i="5"/>
  <c r="D234" i="5"/>
  <c r="D237"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56" i="5"/>
  <c r="D158" i="5"/>
  <c r="D190" i="5"/>
  <c r="D193" i="5"/>
  <c r="D194" i="5"/>
  <c r="D195" i="5"/>
  <c r="D196" i="5"/>
  <c r="D191" i="5"/>
  <c r="D198" i="5"/>
  <c r="D199" i="5"/>
  <c r="D200" i="5"/>
  <c r="D201" i="5"/>
  <c r="D202" i="5"/>
  <c r="D203" i="5"/>
  <c r="D57" i="5"/>
  <c r="D267" i="5"/>
  <c r="D192" i="5"/>
  <c r="D272" i="5"/>
  <c r="D208" i="5"/>
  <c r="D209" i="5"/>
  <c r="D210" i="5"/>
  <c r="D211" i="5"/>
  <c r="D212" i="5"/>
  <c r="D213" i="5"/>
  <c r="D634" i="5"/>
  <c r="D215" i="5"/>
  <c r="D216" i="5"/>
  <c r="D217" i="5"/>
  <c r="D218" i="5"/>
  <c r="D219" i="5"/>
  <c r="D220" i="5"/>
  <c r="D221" i="5"/>
  <c r="D304" i="5"/>
  <c r="D223" i="5"/>
  <c r="D224" i="5"/>
  <c r="D225" i="5"/>
  <c r="D226" i="5"/>
  <c r="D227" i="5"/>
  <c r="D228" i="5"/>
  <c r="D229" i="5"/>
  <c r="D230" i="5"/>
  <c r="D231" i="5"/>
  <c r="D232" i="5"/>
  <c r="D233" i="5"/>
  <c r="D71" i="5"/>
  <c r="D235" i="5"/>
  <c r="D236" i="5"/>
  <c r="D295"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72" i="5"/>
  <c r="D268" i="5"/>
  <c r="D269" i="5"/>
  <c r="D270" i="5"/>
  <c r="D271" i="5"/>
  <c r="D296" i="5"/>
  <c r="D273" i="5"/>
  <c r="D274" i="5"/>
  <c r="D275" i="5"/>
  <c r="D276" i="5"/>
  <c r="D277" i="5"/>
  <c r="D278" i="5"/>
  <c r="D279" i="5"/>
  <c r="D280" i="5"/>
  <c r="D281" i="5"/>
  <c r="D282" i="5"/>
  <c r="D283" i="5"/>
  <c r="D284" i="5"/>
  <c r="D285" i="5"/>
  <c r="D286" i="5"/>
  <c r="D287" i="5"/>
  <c r="D288" i="5"/>
  <c r="D289" i="5"/>
  <c r="D290" i="5"/>
  <c r="D291" i="5"/>
  <c r="D292" i="5"/>
  <c r="D293" i="5"/>
  <c r="D294" i="5"/>
  <c r="D88" i="5"/>
  <c r="D297" i="5"/>
  <c r="D298" i="5"/>
  <c r="D299" i="5"/>
  <c r="D300" i="5"/>
  <c r="D301" i="5"/>
  <c r="D302" i="5"/>
  <c r="D303" i="5"/>
  <c r="D542"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1384" i="5"/>
  <c r="D363" i="5"/>
  <c r="D364" i="5"/>
  <c r="D365" i="5"/>
  <c r="D1387"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6" i="5"/>
  <c r="D413" i="5"/>
  <c r="D32" i="5"/>
  <c r="D418" i="5"/>
  <c r="D41" i="5"/>
  <c r="D414" i="5"/>
  <c r="D420" i="5"/>
  <c r="D421" i="5"/>
  <c r="D422" i="5"/>
  <c r="D423" i="5"/>
  <c r="D424" i="5"/>
  <c r="D425" i="5"/>
  <c r="D426" i="5"/>
  <c r="D427" i="5"/>
  <c r="D428" i="5"/>
  <c r="D429" i="5"/>
  <c r="D430" i="5"/>
  <c r="D431" i="5"/>
  <c r="D432" i="5"/>
  <c r="D447" i="5"/>
  <c r="D438" i="5"/>
  <c r="D439" i="5"/>
  <c r="D454" i="5"/>
  <c r="D440" i="5"/>
  <c r="D455" i="5"/>
  <c r="D448" i="5"/>
  <c r="D441" i="5"/>
  <c r="D456" i="5"/>
  <c r="D442" i="5"/>
  <c r="D443" i="5"/>
  <c r="D444" i="5"/>
  <c r="D434" i="5"/>
  <c r="D415" i="5"/>
  <c r="D433"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8" i="5"/>
  <c r="D519" i="5"/>
  <c r="D520" i="5"/>
  <c r="D521" i="5"/>
  <c r="D522" i="5"/>
  <c r="D523" i="5"/>
  <c r="D529" i="5"/>
  <c r="D525" i="5"/>
  <c r="D526" i="5"/>
  <c r="D534" i="5"/>
  <c r="D535" i="5"/>
  <c r="D536" i="5"/>
  <c r="D537" i="5"/>
  <c r="D538" i="5"/>
  <c r="D539" i="5"/>
  <c r="D540" i="5"/>
  <c r="D541" i="5"/>
  <c r="D1388" i="5"/>
  <c r="D1389"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133" i="5"/>
  <c r="D134" i="5"/>
  <c r="D135" i="5"/>
  <c r="D619" i="5"/>
  <c r="D614" i="5"/>
  <c r="D596" i="5"/>
  <c r="D579" i="5"/>
  <c r="D609" i="5"/>
  <c r="D580" i="5"/>
  <c r="D581" i="5"/>
  <c r="D582" i="5"/>
  <c r="D611" i="5"/>
  <c r="D583" i="5"/>
  <c r="D584" i="5"/>
  <c r="D618" i="5"/>
  <c r="D132" i="5"/>
  <c r="D598" i="5"/>
  <c r="D585" i="5"/>
  <c r="D599" i="5"/>
  <c r="D615" i="5"/>
  <c r="D586" i="5"/>
  <c r="D587" i="5"/>
  <c r="D588" i="5"/>
  <c r="D589" i="5"/>
  <c r="D590" i="5"/>
  <c r="D616" i="5"/>
  <c r="D617" i="5"/>
  <c r="D591" i="5"/>
  <c r="D626" i="5"/>
  <c r="D613" i="5"/>
  <c r="D605" i="5"/>
  <c r="D600" i="5"/>
  <c r="D612" i="5"/>
  <c r="D592" i="5"/>
  <c r="D606" i="5"/>
  <c r="D594" i="5"/>
  <c r="D620" i="5"/>
  <c r="D601" i="5"/>
  <c r="D602" i="5"/>
  <c r="D603" i="5"/>
  <c r="D577" i="5"/>
  <c r="D143" i="5"/>
  <c r="D572" i="5"/>
  <c r="D573" i="5"/>
  <c r="D574" i="5"/>
  <c r="D623" i="5"/>
  <c r="D624" i="5"/>
  <c r="D631" i="5"/>
  <c r="D627" i="5"/>
  <c r="D593" i="5"/>
  <c r="D604" i="5"/>
  <c r="D621" i="5"/>
  <c r="D622" i="5"/>
  <c r="D632" i="5"/>
  <c r="D633" i="5"/>
  <c r="D625" i="5"/>
  <c r="D138" i="5"/>
  <c r="D139" i="5"/>
  <c r="D597" i="5"/>
  <c r="D140" i="5"/>
  <c r="D141" i="5"/>
  <c r="D1293" i="5"/>
  <c r="D362" i="5"/>
  <c r="D649" i="5"/>
  <c r="D656" i="5"/>
  <c r="D1294" i="5"/>
  <c r="D1295" i="5"/>
  <c r="D1296" i="5"/>
  <c r="D1297" i="5"/>
  <c r="D1298" i="5"/>
  <c r="D214" i="5"/>
  <c r="D636" i="5"/>
  <c r="D637" i="5"/>
  <c r="D638" i="5"/>
  <c r="D648" i="5"/>
  <c r="D639" i="5"/>
  <c r="D640" i="5"/>
  <c r="D366" i="5"/>
  <c r="D642" i="5"/>
  <c r="D643" i="5"/>
  <c r="D644" i="5"/>
  <c r="D645" i="5"/>
  <c r="D646" i="5"/>
  <c r="D647" i="5"/>
  <c r="D657" i="5"/>
  <c r="D658" i="5"/>
  <c r="D659" i="5"/>
  <c r="D660" i="5"/>
  <c r="D1289" i="5"/>
  <c r="D661" i="5"/>
  <c r="D1290" i="5"/>
  <c r="D1291" i="5"/>
  <c r="D1292" i="5"/>
  <c r="D666" i="5"/>
  <c r="D667" i="5"/>
  <c r="D668" i="5"/>
  <c r="D669" i="5"/>
  <c r="D670" i="5"/>
  <c r="D671" i="5"/>
  <c r="D672" i="5"/>
  <c r="D673" i="5"/>
  <c r="D674" i="5"/>
  <c r="D675" i="5"/>
  <c r="D676" i="5"/>
  <c r="D677" i="5"/>
  <c r="D678" i="5"/>
  <c r="D679" i="5"/>
  <c r="D680" i="5"/>
  <c r="D681" i="5"/>
  <c r="D682" i="5"/>
  <c r="D683" i="5"/>
  <c r="D684" i="5"/>
  <c r="D685" i="5"/>
  <c r="D686" i="5"/>
  <c r="D687" i="5"/>
  <c r="D688" i="5"/>
  <c r="D689" i="5"/>
  <c r="D690" i="5"/>
  <c r="D691" i="5"/>
  <c r="D692" i="5"/>
  <c r="D693" i="5"/>
  <c r="D694" i="5"/>
  <c r="D695" i="5"/>
  <c r="D696" i="5"/>
  <c r="D697" i="5"/>
  <c r="D698" i="5"/>
  <c r="D699" i="5"/>
  <c r="D700" i="5"/>
  <c r="D701" i="5"/>
  <c r="D702" i="5"/>
  <c r="D703" i="5"/>
  <c r="D704" i="5"/>
  <c r="D705" i="5"/>
  <c r="D706" i="5"/>
  <c r="D707" i="5"/>
  <c r="D708" i="5"/>
  <c r="D709" i="5"/>
  <c r="D710" i="5"/>
  <c r="D711" i="5"/>
  <c r="D712" i="5"/>
  <c r="D713" i="5"/>
  <c r="D714" i="5"/>
  <c r="D715" i="5"/>
  <c r="D716" i="5"/>
  <c r="D717" i="5"/>
  <c r="D718" i="5"/>
  <c r="D719" i="5"/>
  <c r="D720" i="5"/>
  <c r="D721" i="5"/>
  <c r="D722" i="5"/>
  <c r="D723" i="5"/>
  <c r="D724" i="5"/>
  <c r="D725" i="5"/>
  <c r="D726" i="5"/>
  <c r="D727" i="5"/>
  <c r="D728" i="5"/>
  <c r="D729" i="5"/>
  <c r="D730" i="5"/>
  <c r="D731" i="5"/>
  <c r="D732" i="5"/>
  <c r="D733" i="5"/>
  <c r="D734" i="5"/>
  <c r="D735" i="5"/>
  <c r="D736" i="5"/>
  <c r="D737" i="5"/>
  <c r="D738" i="5"/>
  <c r="D739" i="5"/>
  <c r="D740" i="5"/>
  <c r="D741" i="5"/>
  <c r="D742" i="5"/>
  <c r="D743" i="5"/>
  <c r="D744" i="5"/>
  <c r="D745" i="5"/>
  <c r="D746" i="5"/>
  <c r="D747" i="5"/>
  <c r="D748" i="5"/>
  <c r="D749" i="5"/>
  <c r="D750" i="5"/>
  <c r="D751" i="5"/>
  <c r="D752" i="5"/>
  <c r="D753" i="5"/>
  <c r="D754" i="5"/>
  <c r="D755" i="5"/>
  <c r="D756" i="5"/>
  <c r="D757" i="5"/>
  <c r="D758" i="5"/>
  <c r="D759" i="5"/>
  <c r="D760" i="5"/>
  <c r="D761" i="5"/>
  <c r="D762" i="5"/>
  <c r="D763" i="5"/>
  <c r="D764" i="5"/>
  <c r="D765" i="5"/>
  <c r="D766" i="5"/>
  <c r="D767" i="5"/>
  <c r="D768" i="5"/>
  <c r="D769" i="5"/>
  <c r="D770" i="5"/>
  <c r="D771" i="5"/>
  <c r="D772" i="5"/>
  <c r="D773" i="5"/>
  <c r="D774" i="5"/>
  <c r="D775" i="5"/>
  <c r="D776" i="5"/>
  <c r="D777" i="5"/>
  <c r="D778" i="5"/>
  <c r="D779" i="5"/>
  <c r="D780" i="5"/>
  <c r="D781" i="5"/>
  <c r="D782" i="5"/>
  <c r="D783" i="5"/>
  <c r="D784" i="5"/>
  <c r="D785" i="5"/>
  <c r="D786" i="5"/>
  <c r="D787" i="5"/>
  <c r="D788" i="5"/>
  <c r="D789" i="5"/>
  <c r="D790" i="5"/>
  <c r="D791" i="5"/>
  <c r="D792" i="5"/>
  <c r="D793" i="5"/>
  <c r="D794" i="5"/>
  <c r="D795" i="5"/>
  <c r="D796" i="5"/>
  <c r="D797" i="5"/>
  <c r="D798" i="5"/>
  <c r="D799" i="5"/>
  <c r="D800" i="5"/>
  <c r="D222" i="5"/>
  <c r="D802" i="5"/>
  <c r="D803" i="5"/>
  <c r="D804" i="5"/>
  <c r="D805" i="5"/>
  <c r="D806" i="5"/>
  <c r="D807" i="5"/>
  <c r="D808" i="5"/>
  <c r="D809" i="5"/>
  <c r="D810" i="5"/>
  <c r="D811" i="5"/>
  <c r="D812" i="5"/>
  <c r="D813" i="5"/>
  <c r="D814" i="5"/>
  <c r="D815" i="5"/>
  <c r="D816" i="5"/>
  <c r="D817" i="5"/>
  <c r="D818" i="5"/>
  <c r="D819" i="5"/>
  <c r="D820" i="5"/>
  <c r="D821" i="5"/>
  <c r="D822" i="5"/>
  <c r="D823" i="5"/>
  <c r="D824" i="5"/>
  <c r="D825" i="5"/>
  <c r="D826" i="5"/>
  <c r="D827" i="5"/>
  <c r="D828" i="5"/>
  <c r="D829" i="5"/>
  <c r="D830" i="5"/>
  <c r="D831" i="5"/>
  <c r="D832" i="5"/>
  <c r="D833" i="5"/>
  <c r="D834" i="5"/>
  <c r="D835" i="5"/>
  <c r="D836" i="5"/>
  <c r="D837" i="5"/>
  <c r="D838" i="5"/>
  <c r="D839" i="5"/>
  <c r="D840" i="5"/>
  <c r="D841" i="5"/>
  <c r="D842" i="5"/>
  <c r="D843" i="5"/>
  <c r="D845" i="5"/>
  <c r="D846" i="5"/>
  <c r="D847" i="5"/>
  <c r="D848" i="5"/>
  <c r="D849" i="5"/>
  <c r="D850" i="5"/>
  <c r="D851" i="5"/>
  <c r="D852" i="5"/>
  <c r="D853" i="5"/>
  <c r="D854" i="5"/>
  <c r="D449" i="5"/>
  <c r="D453" i="5"/>
  <c r="D451" i="5"/>
  <c r="D450" i="5"/>
  <c r="D446" i="5"/>
  <c r="D445" i="5"/>
  <c r="D436" i="5"/>
  <c r="D435" i="5"/>
  <c r="D530" i="5"/>
  <c r="D533" i="5"/>
  <c r="D527" i="5"/>
  <c r="D528" i="5"/>
  <c r="D517" i="5"/>
  <c r="D531" i="5"/>
  <c r="D452" i="5"/>
  <c r="D532" i="5"/>
  <c r="D524" i="5"/>
  <c r="D437" i="5"/>
  <c r="F35" i="1" l="1"/>
  <c r="I35" i="1" s="1"/>
  <c r="F32" i="1"/>
  <c r="I32" i="1" s="1"/>
  <c r="F30" i="1"/>
  <c r="I30" i="1" s="1"/>
  <c r="F25" i="14"/>
  <c r="I25" i="14" s="1"/>
  <c r="F24" i="1"/>
  <c r="I24" i="1" s="1"/>
  <c r="F23" i="1"/>
  <c r="I23" i="1" s="1"/>
  <c r="F21" i="1"/>
  <c r="I21" i="1" s="1"/>
  <c r="F20" i="1"/>
  <c r="I20" i="1" s="1"/>
  <c r="F21" i="14" l="1"/>
  <c r="I21" i="14" s="1"/>
  <c r="F20" i="14"/>
  <c r="I20" i="14" s="1"/>
  <c r="F24" i="14"/>
  <c r="I24" i="14" s="1"/>
  <c r="F23" i="14"/>
  <c r="I23" i="14" s="1"/>
  <c r="F30" i="14"/>
  <c r="I30" i="14" s="1"/>
  <c r="F32" i="14"/>
  <c r="I32" i="14" s="1"/>
  <c r="F35" i="14"/>
  <c r="I35" i="14" s="1"/>
  <c r="F39" i="14"/>
  <c r="I39" i="14" s="1"/>
  <c r="J25" i="14"/>
  <c r="K25" i="14"/>
  <c r="R31" i="1"/>
  <c r="F19" i="14"/>
  <c r="I19" i="14" s="1"/>
  <c r="I38" i="1"/>
  <c r="F31" i="1"/>
  <c r="I31" i="1" s="1"/>
  <c r="F14" i="1"/>
  <c r="I14" i="1" s="1"/>
  <c r="F13" i="1"/>
  <c r="I13" i="1" s="1"/>
  <c r="F11" i="1"/>
  <c r="I11" i="1" s="1"/>
  <c r="F10" i="1"/>
  <c r="I10" i="1" s="1"/>
  <c r="F9" i="1"/>
  <c r="I9" i="1" s="1"/>
  <c r="F8" i="1"/>
  <c r="I8" i="1" s="1"/>
  <c r="I6" i="1"/>
  <c r="F5" i="1"/>
  <c r="L50" i="10"/>
  <c r="O50" i="10"/>
  <c r="P50" i="10"/>
  <c r="L2" i="10"/>
  <c r="L3" i="10"/>
  <c r="L4" i="10"/>
  <c r="L5" i="10"/>
  <c r="L6" i="10"/>
  <c r="L7"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O48" i="10"/>
  <c r="O49" i="10"/>
  <c r="P48" i="10"/>
  <c r="P49" i="10"/>
  <c r="K21" i="14" l="1"/>
  <c r="I5" i="1"/>
  <c r="J5" i="1"/>
  <c r="I22" i="14"/>
  <c r="J30" i="14"/>
  <c r="K30" i="14"/>
  <c r="K35" i="14"/>
  <c r="K32" i="14"/>
  <c r="K39" i="14"/>
  <c r="J23" i="14"/>
  <c r="K24" i="14"/>
  <c r="K20" i="14"/>
  <c r="J20" i="14"/>
  <c r="J21" i="14"/>
  <c r="J35" i="14"/>
  <c r="J24" i="14"/>
  <c r="F5" i="14"/>
  <c r="I5" i="14" s="1"/>
  <c r="F31" i="14"/>
  <c r="I31" i="14" s="1"/>
  <c r="F6" i="14"/>
  <c r="I6" i="14" s="1"/>
  <c r="F34" i="14"/>
  <c r="F8" i="14"/>
  <c r="I8" i="14" s="1"/>
  <c r="F38" i="14"/>
  <c r="I38" i="14" s="1"/>
  <c r="F9" i="14"/>
  <c r="I9" i="14" s="1"/>
  <c r="F10" i="14"/>
  <c r="I10" i="14" s="1"/>
  <c r="F11" i="14"/>
  <c r="I11" i="14" s="1"/>
  <c r="F13" i="14"/>
  <c r="I13" i="14" s="1"/>
  <c r="F14" i="14"/>
  <c r="I14" i="14" s="1"/>
  <c r="F26" i="14"/>
  <c r="K23" i="14"/>
  <c r="J39" i="14"/>
  <c r="J32" i="14"/>
  <c r="K19" i="14"/>
  <c r="J19" i="14"/>
  <c r="F22" i="14"/>
  <c r="O47" i="10"/>
  <c r="P47" i="10"/>
  <c r="I7" i="14" l="1"/>
  <c r="J34" i="14"/>
  <c r="I34" i="14"/>
  <c r="F7" i="14"/>
  <c r="J7" i="14" s="1"/>
  <c r="K31" i="14"/>
  <c r="K38" i="14"/>
  <c r="K34" i="14"/>
  <c r="K14" i="14"/>
  <c r="K6" i="14"/>
  <c r="J11" i="14"/>
  <c r="K8" i="14"/>
  <c r="K5" i="14"/>
  <c r="J13" i="14"/>
  <c r="J31" i="14"/>
  <c r="K10" i="14"/>
  <c r="I12" i="14"/>
  <c r="K26" i="14"/>
  <c r="I26" i="14"/>
  <c r="J26" i="14"/>
  <c r="F40" i="14"/>
  <c r="F36" i="14"/>
  <c r="J38" i="14"/>
  <c r="K13" i="14"/>
  <c r="F12" i="14"/>
  <c r="J12" i="14" s="1"/>
  <c r="K9" i="14"/>
  <c r="F17" i="14"/>
  <c r="J9" i="14"/>
  <c r="J8" i="14"/>
  <c r="J5" i="14"/>
  <c r="K11" i="14"/>
  <c r="J10" i="14"/>
  <c r="J6" i="14"/>
  <c r="J14" i="14"/>
  <c r="F27" i="14"/>
  <c r="K22" i="14"/>
  <c r="J22" i="14"/>
  <c r="P34" i="10"/>
  <c r="O6" i="10"/>
  <c r="O7" i="10"/>
  <c r="O8" i="10"/>
  <c r="O9"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P6" i="10"/>
  <c r="P7" i="10"/>
  <c r="P8" i="10"/>
  <c r="P9" i="10"/>
  <c r="P10" i="10"/>
  <c r="P11" i="10"/>
  <c r="P12" i="10"/>
  <c r="P13" i="10"/>
  <c r="P14" i="10"/>
  <c r="P15" i="10"/>
  <c r="P16" i="10"/>
  <c r="P17" i="10"/>
  <c r="P18" i="10"/>
  <c r="P19" i="10"/>
  <c r="P20" i="10"/>
  <c r="P21" i="10"/>
  <c r="P22" i="10"/>
  <c r="P23" i="10"/>
  <c r="P24" i="10"/>
  <c r="P25" i="10"/>
  <c r="P26" i="10"/>
  <c r="P27" i="10"/>
  <c r="P28" i="10"/>
  <c r="P29" i="10"/>
  <c r="P30" i="10"/>
  <c r="P31" i="10"/>
  <c r="P32" i="10"/>
  <c r="P33" i="10"/>
  <c r="P35" i="10"/>
  <c r="P36" i="10"/>
  <c r="P37" i="10"/>
  <c r="P38" i="10"/>
  <c r="P39" i="10"/>
  <c r="P40" i="10"/>
  <c r="P41" i="10"/>
  <c r="P42" i="10"/>
  <c r="P43" i="10"/>
  <c r="P44" i="10"/>
  <c r="P45" i="10"/>
  <c r="P46" i="10"/>
  <c r="N437" i="5"/>
  <c r="Q437" i="5"/>
  <c r="R437" i="5"/>
  <c r="N524" i="5"/>
  <c r="Q524" i="5"/>
  <c r="R524" i="5"/>
  <c r="U531" i="5"/>
  <c r="N532" i="5"/>
  <c r="Q532" i="5"/>
  <c r="R532" i="5"/>
  <c r="N452" i="5"/>
  <c r="Q452" i="5"/>
  <c r="R452" i="5"/>
  <c r="K7" i="14" l="1"/>
  <c r="I17" i="14"/>
  <c r="I18" i="14" s="1"/>
  <c r="I27" i="14"/>
  <c r="J36" i="14"/>
  <c r="I36" i="14"/>
  <c r="J40" i="14"/>
  <c r="I40" i="14"/>
  <c r="K36" i="14"/>
  <c r="K12" i="14"/>
  <c r="F18" i="14"/>
  <c r="K18" i="14" s="1"/>
  <c r="K40" i="14"/>
  <c r="K17" i="14"/>
  <c r="J17" i="14"/>
  <c r="J27" i="14"/>
  <c r="K27" i="14"/>
  <c r="U381" i="5"/>
  <c r="D12" i="1"/>
  <c r="D7" i="1"/>
  <c r="I28" i="14" l="1"/>
  <c r="F28" i="14"/>
  <c r="K28" i="14" s="1"/>
  <c r="J18" i="14"/>
  <c r="F113" i="14"/>
  <c r="I113" i="14" s="1"/>
  <c r="F117" i="14"/>
  <c r="I117" i="14" s="1"/>
  <c r="F114" i="14"/>
  <c r="I114" i="14" s="1"/>
  <c r="N2" i="5"/>
  <c r="N3" i="5"/>
  <c r="N4" i="5"/>
  <c r="N5" i="5"/>
  <c r="N6" i="5"/>
  <c r="N7" i="5"/>
  <c r="N8" i="5"/>
  <c r="N9" i="5"/>
  <c r="N10" i="5"/>
  <c r="N11" i="5"/>
  <c r="N12" i="5"/>
  <c r="N13" i="5"/>
  <c r="N14" i="5"/>
  <c r="N15" i="5"/>
  <c r="N197" i="5"/>
  <c r="N100" i="5"/>
  <c r="N18" i="5"/>
  <c r="N102" i="5"/>
  <c r="N104" i="5"/>
  <c r="N21" i="5"/>
  <c r="N22" i="5"/>
  <c r="N16" i="5"/>
  <c r="N105" i="5"/>
  <c r="N25" i="5"/>
  <c r="N26" i="5"/>
  <c r="N27" i="5"/>
  <c r="N28" i="5"/>
  <c r="N29" i="5"/>
  <c r="N30" i="5"/>
  <c r="N31" i="5"/>
  <c r="N417" i="5"/>
  <c r="N33" i="5"/>
  <c r="N34" i="5"/>
  <c r="N35" i="5"/>
  <c r="N36" i="5"/>
  <c r="N37" i="5"/>
  <c r="N38" i="5"/>
  <c r="N39" i="5"/>
  <c r="N40" i="5"/>
  <c r="N419" i="5"/>
  <c r="N42" i="5"/>
  <c r="N43" i="5"/>
  <c r="N44" i="5"/>
  <c r="N45" i="5"/>
  <c r="N46" i="5"/>
  <c r="N47" i="5"/>
  <c r="N48" i="5"/>
  <c r="N49" i="5"/>
  <c r="N50" i="5"/>
  <c r="N51" i="5"/>
  <c r="N52" i="5"/>
  <c r="N53" i="5"/>
  <c r="N54" i="5"/>
  <c r="N55" i="5"/>
  <c r="N17" i="5"/>
  <c r="N123" i="5"/>
  <c r="N58" i="5"/>
  <c r="N59" i="5"/>
  <c r="N60" i="5"/>
  <c r="N61" i="5"/>
  <c r="N62" i="5"/>
  <c r="N63" i="5"/>
  <c r="N64" i="5"/>
  <c r="N65" i="5"/>
  <c r="N66" i="5"/>
  <c r="N67" i="5"/>
  <c r="N68" i="5"/>
  <c r="N69" i="5"/>
  <c r="N70" i="5"/>
  <c r="N19" i="5"/>
  <c r="N125" i="5"/>
  <c r="N73" i="5"/>
  <c r="N74" i="5"/>
  <c r="N75" i="5"/>
  <c r="N76" i="5"/>
  <c r="N77" i="5"/>
  <c r="N78" i="5"/>
  <c r="N79" i="5"/>
  <c r="N80" i="5"/>
  <c r="N81" i="5"/>
  <c r="N82" i="5"/>
  <c r="N83" i="5"/>
  <c r="N84" i="5"/>
  <c r="N85" i="5"/>
  <c r="N86" i="5"/>
  <c r="N87" i="5"/>
  <c r="N20" i="5"/>
  <c r="N204" i="5"/>
  <c r="N90" i="5"/>
  <c r="N91" i="5"/>
  <c r="N92" i="5"/>
  <c r="N93" i="5"/>
  <c r="N94" i="5"/>
  <c r="N95" i="5"/>
  <c r="N96" i="5"/>
  <c r="N97" i="5"/>
  <c r="N98" i="5"/>
  <c r="N99" i="5"/>
  <c r="N23" i="5"/>
  <c r="N101" i="5"/>
  <c r="N126" i="5"/>
  <c r="N103" i="5"/>
  <c r="N155" i="5"/>
  <c r="N156" i="5"/>
  <c r="N106" i="5"/>
  <c r="N107" i="5"/>
  <c r="N108" i="5"/>
  <c r="N109" i="5"/>
  <c r="N110" i="5"/>
  <c r="N111" i="5"/>
  <c r="N112" i="5"/>
  <c r="N113" i="5"/>
  <c r="N114" i="5"/>
  <c r="N115" i="5"/>
  <c r="N116" i="5"/>
  <c r="N117" i="5"/>
  <c r="N118" i="5"/>
  <c r="N119" i="5"/>
  <c r="N120" i="5"/>
  <c r="N121" i="5"/>
  <c r="N122" i="5"/>
  <c r="N205" i="5"/>
  <c r="N124" i="5"/>
  <c r="N206" i="5"/>
  <c r="N157" i="5"/>
  <c r="N127" i="5"/>
  <c r="N128" i="5"/>
  <c r="N129" i="5"/>
  <c r="N130" i="5"/>
  <c r="N131" i="5"/>
  <c r="N575" i="5"/>
  <c r="N576" i="5"/>
  <c r="N142" i="5"/>
  <c r="N607" i="5"/>
  <c r="N136" i="5"/>
  <c r="N595" i="5"/>
  <c r="N578" i="5"/>
  <c r="N628" i="5"/>
  <c r="N608" i="5"/>
  <c r="N137" i="5"/>
  <c r="N629" i="5"/>
  <c r="N630" i="5"/>
  <c r="N144" i="5"/>
  <c r="N145" i="5"/>
  <c r="N146" i="5"/>
  <c r="N147" i="5"/>
  <c r="N148" i="5"/>
  <c r="N149" i="5"/>
  <c r="N150" i="5"/>
  <c r="N151" i="5"/>
  <c r="N152" i="5"/>
  <c r="N153" i="5"/>
  <c r="N154" i="5"/>
  <c r="N24" i="5"/>
  <c r="N207" i="5"/>
  <c r="N234" i="5"/>
  <c r="N237" i="5"/>
  <c r="N159" i="5"/>
  <c r="N160" i="5"/>
  <c r="N161" i="5"/>
  <c r="N162" i="5"/>
  <c r="N163" i="5"/>
  <c r="N164" i="5"/>
  <c r="N165" i="5"/>
  <c r="N166" i="5"/>
  <c r="N167" i="5"/>
  <c r="N168" i="5"/>
  <c r="N169" i="5"/>
  <c r="N170" i="5"/>
  <c r="N171" i="5"/>
  <c r="N172" i="5"/>
  <c r="N173" i="5"/>
  <c r="N174" i="5"/>
  <c r="N175" i="5"/>
  <c r="N176" i="5"/>
  <c r="N177" i="5"/>
  <c r="N178" i="5"/>
  <c r="N179" i="5"/>
  <c r="N180" i="5"/>
  <c r="N181" i="5"/>
  <c r="N182" i="5"/>
  <c r="N183" i="5"/>
  <c r="N184" i="5"/>
  <c r="N185" i="5"/>
  <c r="N186" i="5"/>
  <c r="N187" i="5"/>
  <c r="N188" i="5"/>
  <c r="N189" i="5"/>
  <c r="N56" i="5"/>
  <c r="N158" i="5"/>
  <c r="N190" i="5"/>
  <c r="N193" i="5"/>
  <c r="N194" i="5"/>
  <c r="N195" i="5"/>
  <c r="N196" i="5"/>
  <c r="N191" i="5"/>
  <c r="N198" i="5"/>
  <c r="N199" i="5"/>
  <c r="N200" i="5"/>
  <c r="N201" i="5"/>
  <c r="N202" i="5"/>
  <c r="N203" i="5"/>
  <c r="N57" i="5"/>
  <c r="N267" i="5"/>
  <c r="N192" i="5"/>
  <c r="N272" i="5"/>
  <c r="N208" i="5"/>
  <c r="N209" i="5"/>
  <c r="N210" i="5"/>
  <c r="N211" i="5"/>
  <c r="N212" i="5"/>
  <c r="N213" i="5"/>
  <c r="N634" i="5"/>
  <c r="N215" i="5"/>
  <c r="N216" i="5"/>
  <c r="N217" i="5"/>
  <c r="N218" i="5"/>
  <c r="N219" i="5"/>
  <c r="N220" i="5"/>
  <c r="N221" i="5"/>
  <c r="N304" i="5"/>
  <c r="N223" i="5"/>
  <c r="N224" i="5"/>
  <c r="N225" i="5"/>
  <c r="N226" i="5"/>
  <c r="N227" i="5"/>
  <c r="N228" i="5"/>
  <c r="N229" i="5"/>
  <c r="N230" i="5"/>
  <c r="N231" i="5"/>
  <c r="N232" i="5"/>
  <c r="N233" i="5"/>
  <c r="N71" i="5"/>
  <c r="N235" i="5"/>
  <c r="N236" i="5"/>
  <c r="N295" i="5"/>
  <c r="N238" i="5"/>
  <c r="N239" i="5"/>
  <c r="N240" i="5"/>
  <c r="N241" i="5"/>
  <c r="N242" i="5"/>
  <c r="N243" i="5"/>
  <c r="N244" i="5"/>
  <c r="N245" i="5"/>
  <c r="N246" i="5"/>
  <c r="N247" i="5"/>
  <c r="N248" i="5"/>
  <c r="N249" i="5"/>
  <c r="N250" i="5"/>
  <c r="N251" i="5"/>
  <c r="N252" i="5"/>
  <c r="N253" i="5"/>
  <c r="N254" i="5"/>
  <c r="N255" i="5"/>
  <c r="N256" i="5"/>
  <c r="N257" i="5"/>
  <c r="N258" i="5"/>
  <c r="N259" i="5"/>
  <c r="N260" i="5"/>
  <c r="N261" i="5"/>
  <c r="N262" i="5"/>
  <c r="N263" i="5"/>
  <c r="N264" i="5"/>
  <c r="N265" i="5"/>
  <c r="N266" i="5"/>
  <c r="N72" i="5"/>
  <c r="N268" i="5"/>
  <c r="N269" i="5"/>
  <c r="N270" i="5"/>
  <c r="N271" i="5"/>
  <c r="N296" i="5"/>
  <c r="N273" i="5"/>
  <c r="N274" i="5"/>
  <c r="N275" i="5"/>
  <c r="N276" i="5"/>
  <c r="N277" i="5"/>
  <c r="N278" i="5"/>
  <c r="N279" i="5"/>
  <c r="N280" i="5"/>
  <c r="N281" i="5"/>
  <c r="N282" i="5"/>
  <c r="N283" i="5"/>
  <c r="N284" i="5"/>
  <c r="N285" i="5"/>
  <c r="N286" i="5"/>
  <c r="N287" i="5"/>
  <c r="N288" i="5"/>
  <c r="N289" i="5"/>
  <c r="N290" i="5"/>
  <c r="N291" i="5"/>
  <c r="N292" i="5"/>
  <c r="N293" i="5"/>
  <c r="N294" i="5"/>
  <c r="N88" i="5"/>
  <c r="N297" i="5"/>
  <c r="N298" i="5"/>
  <c r="N299" i="5"/>
  <c r="N300" i="5"/>
  <c r="N301" i="5"/>
  <c r="N302" i="5"/>
  <c r="N303" i="5"/>
  <c r="N542" i="5"/>
  <c r="N305" i="5"/>
  <c r="N306" i="5"/>
  <c r="N307" i="5"/>
  <c r="N308" i="5"/>
  <c r="N309" i="5"/>
  <c r="N310" i="5"/>
  <c r="N311" i="5"/>
  <c r="N312" i="5"/>
  <c r="N313" i="5"/>
  <c r="N314" i="5"/>
  <c r="N315" i="5"/>
  <c r="N316" i="5"/>
  <c r="N317" i="5"/>
  <c r="N318" i="5"/>
  <c r="N319" i="5"/>
  <c r="N320" i="5"/>
  <c r="N321" i="5"/>
  <c r="N322" i="5"/>
  <c r="N323" i="5"/>
  <c r="N324" i="5"/>
  <c r="N325" i="5"/>
  <c r="N326" i="5"/>
  <c r="N327" i="5"/>
  <c r="N328" i="5"/>
  <c r="N329" i="5"/>
  <c r="N330" i="5"/>
  <c r="N331" i="5"/>
  <c r="N332" i="5"/>
  <c r="N335" i="5"/>
  <c r="N336" i="5"/>
  <c r="N333" i="5"/>
  <c r="N337" i="5"/>
  <c r="N338" i="5"/>
  <c r="N339" i="5"/>
  <c r="N340" i="5"/>
  <c r="N341" i="5"/>
  <c r="N342" i="5"/>
  <c r="N343" i="5"/>
  <c r="N344" i="5"/>
  <c r="N345" i="5"/>
  <c r="N353" i="5"/>
  <c r="N354" i="5"/>
  <c r="N355" i="5"/>
  <c r="N356" i="5"/>
  <c r="N357" i="5"/>
  <c r="N358" i="5"/>
  <c r="N359" i="5"/>
  <c r="N360" i="5"/>
  <c r="N361" i="5"/>
  <c r="N1384" i="5"/>
  <c r="N363" i="5"/>
  <c r="N364" i="5"/>
  <c r="N365" i="5"/>
  <c r="N1387" i="5"/>
  <c r="N367" i="5"/>
  <c r="N368" i="5"/>
  <c r="N369" i="5"/>
  <c r="N370" i="5"/>
  <c r="N371" i="5"/>
  <c r="N372" i="5"/>
  <c r="N373" i="5"/>
  <c r="N374" i="5"/>
  <c r="N375" i="5"/>
  <c r="N376" i="5"/>
  <c r="N377" i="5"/>
  <c r="N378" i="5"/>
  <c r="N379" i="5"/>
  <c r="N381" i="5"/>
  <c r="N382" i="5"/>
  <c r="N383" i="5"/>
  <c r="N384" i="5"/>
  <c r="N385" i="5"/>
  <c r="N386" i="5"/>
  <c r="N387" i="5"/>
  <c r="N388" i="5"/>
  <c r="N389" i="5"/>
  <c r="N390" i="5"/>
  <c r="N391" i="5"/>
  <c r="N392" i="5"/>
  <c r="N393" i="5"/>
  <c r="N398" i="5"/>
  <c r="N399" i="5"/>
  <c r="N400" i="5"/>
  <c r="N401" i="5"/>
  <c r="N402" i="5"/>
  <c r="N403" i="5"/>
  <c r="N404" i="5"/>
  <c r="N405" i="5"/>
  <c r="N406" i="5"/>
  <c r="N407" i="5"/>
  <c r="N408" i="5"/>
  <c r="N409" i="5"/>
  <c r="N410" i="5"/>
  <c r="N411" i="5"/>
  <c r="N412" i="5"/>
  <c r="N416" i="5"/>
  <c r="N413" i="5"/>
  <c r="N32" i="5"/>
  <c r="N418" i="5"/>
  <c r="N41" i="5"/>
  <c r="N414" i="5"/>
  <c r="N420" i="5"/>
  <c r="N421" i="5"/>
  <c r="N422" i="5"/>
  <c r="N423" i="5"/>
  <c r="N424" i="5"/>
  <c r="N425" i="5"/>
  <c r="N426" i="5"/>
  <c r="N427" i="5"/>
  <c r="N428" i="5"/>
  <c r="N429" i="5"/>
  <c r="N430" i="5"/>
  <c r="N431" i="5"/>
  <c r="N432" i="5"/>
  <c r="N447" i="5"/>
  <c r="N438" i="5"/>
  <c r="N439" i="5"/>
  <c r="N454" i="5"/>
  <c r="N440" i="5"/>
  <c r="N455" i="5"/>
  <c r="N448" i="5"/>
  <c r="N441" i="5"/>
  <c r="N456" i="5"/>
  <c r="N442" i="5"/>
  <c r="N443" i="5"/>
  <c r="N444" i="5"/>
  <c r="N434" i="5"/>
  <c r="N415" i="5"/>
  <c r="N433" i="5"/>
  <c r="N457" i="5"/>
  <c r="N458" i="5"/>
  <c r="N459" i="5"/>
  <c r="N460" i="5"/>
  <c r="N461" i="5"/>
  <c r="N462" i="5"/>
  <c r="N463" i="5"/>
  <c r="N464" i="5"/>
  <c r="N465" i="5"/>
  <c r="N466" i="5"/>
  <c r="N467" i="5"/>
  <c r="N468" i="5"/>
  <c r="N469" i="5"/>
  <c r="N470" i="5"/>
  <c r="N471" i="5"/>
  <c r="N472" i="5"/>
  <c r="N473" i="5"/>
  <c r="N474" i="5"/>
  <c r="N475" i="5"/>
  <c r="N476" i="5"/>
  <c r="N477" i="5"/>
  <c r="N478" i="5"/>
  <c r="N479" i="5"/>
  <c r="N480" i="5"/>
  <c r="N481" i="5"/>
  <c r="N482" i="5"/>
  <c r="N483" i="5"/>
  <c r="N484" i="5"/>
  <c r="N485" i="5"/>
  <c r="N486" i="5"/>
  <c r="N487" i="5"/>
  <c r="N488" i="5"/>
  <c r="N489" i="5"/>
  <c r="N490" i="5"/>
  <c r="N491" i="5"/>
  <c r="N492" i="5"/>
  <c r="N493" i="5"/>
  <c r="N494" i="5"/>
  <c r="N495" i="5"/>
  <c r="N496" i="5"/>
  <c r="N497" i="5"/>
  <c r="N498" i="5"/>
  <c r="N499" i="5"/>
  <c r="N500" i="5"/>
  <c r="N501" i="5"/>
  <c r="N502" i="5"/>
  <c r="N503" i="5"/>
  <c r="N504" i="5"/>
  <c r="N505" i="5"/>
  <c r="N506" i="5"/>
  <c r="N507" i="5"/>
  <c r="N508" i="5"/>
  <c r="N509" i="5"/>
  <c r="N510" i="5"/>
  <c r="N511" i="5"/>
  <c r="N512" i="5"/>
  <c r="N513" i="5"/>
  <c r="N514" i="5"/>
  <c r="N515" i="5"/>
  <c r="N516" i="5"/>
  <c r="N518" i="5"/>
  <c r="N519" i="5"/>
  <c r="N520" i="5"/>
  <c r="N521" i="5"/>
  <c r="N522" i="5"/>
  <c r="N523" i="5"/>
  <c r="N529" i="5"/>
  <c r="N525" i="5"/>
  <c r="N526" i="5"/>
  <c r="N534" i="5"/>
  <c r="N535" i="5"/>
  <c r="N536" i="5"/>
  <c r="N537" i="5"/>
  <c r="N538" i="5"/>
  <c r="N539" i="5"/>
  <c r="N540" i="5"/>
  <c r="N541" i="5"/>
  <c r="N1388" i="5"/>
  <c r="N1389" i="5"/>
  <c r="N544" i="5"/>
  <c r="N545" i="5"/>
  <c r="N546" i="5"/>
  <c r="N547" i="5"/>
  <c r="N548" i="5"/>
  <c r="N549" i="5"/>
  <c r="N550" i="5"/>
  <c r="N551" i="5"/>
  <c r="N552" i="5"/>
  <c r="N553" i="5"/>
  <c r="N554" i="5"/>
  <c r="N555" i="5"/>
  <c r="N556" i="5"/>
  <c r="N557" i="5"/>
  <c r="N558" i="5"/>
  <c r="N559" i="5"/>
  <c r="N560" i="5"/>
  <c r="N561" i="5"/>
  <c r="N562" i="5"/>
  <c r="N563" i="5"/>
  <c r="N564" i="5"/>
  <c r="N565" i="5"/>
  <c r="N566" i="5"/>
  <c r="N567" i="5"/>
  <c r="N568" i="5"/>
  <c r="N569" i="5"/>
  <c r="N570" i="5"/>
  <c r="N571" i="5"/>
  <c r="N133" i="5"/>
  <c r="N134" i="5"/>
  <c r="N135" i="5"/>
  <c r="N619" i="5"/>
  <c r="N614" i="5"/>
  <c r="N596" i="5"/>
  <c r="N579" i="5"/>
  <c r="N609" i="5"/>
  <c r="N580" i="5"/>
  <c r="N581" i="5"/>
  <c r="N582" i="5"/>
  <c r="N611" i="5"/>
  <c r="N583" i="5"/>
  <c r="N584" i="5"/>
  <c r="N618" i="5"/>
  <c r="N132" i="5"/>
  <c r="N598" i="5"/>
  <c r="N585" i="5"/>
  <c r="N599" i="5"/>
  <c r="N615" i="5"/>
  <c r="N586" i="5"/>
  <c r="N587" i="5"/>
  <c r="N588" i="5"/>
  <c r="N589" i="5"/>
  <c r="N590" i="5"/>
  <c r="N616" i="5"/>
  <c r="N617" i="5"/>
  <c r="N591" i="5"/>
  <c r="N600" i="5"/>
  <c r="N612" i="5"/>
  <c r="N592" i="5"/>
  <c r="N606" i="5"/>
  <c r="N594" i="5"/>
  <c r="N620" i="5"/>
  <c r="N601" i="5"/>
  <c r="N602" i="5"/>
  <c r="N603" i="5"/>
  <c r="N577" i="5"/>
  <c r="N143" i="5"/>
  <c r="N572" i="5"/>
  <c r="N631" i="5"/>
  <c r="N627" i="5"/>
  <c r="N593" i="5"/>
  <c r="N604" i="5"/>
  <c r="N621" i="5"/>
  <c r="N622" i="5"/>
  <c r="N632" i="5"/>
  <c r="N633" i="5"/>
  <c r="N625" i="5"/>
  <c r="N138" i="5"/>
  <c r="N139" i="5"/>
  <c r="N597" i="5"/>
  <c r="N140" i="5"/>
  <c r="N141" i="5"/>
  <c r="N1293" i="5"/>
  <c r="N362" i="5"/>
  <c r="N649" i="5"/>
  <c r="N656" i="5"/>
  <c r="N1294" i="5"/>
  <c r="N1295" i="5"/>
  <c r="N1296" i="5"/>
  <c r="N1297" i="5"/>
  <c r="N1298" i="5"/>
  <c r="N214" i="5"/>
  <c r="N636" i="5"/>
  <c r="N637" i="5"/>
  <c r="N638" i="5"/>
  <c r="N648" i="5"/>
  <c r="N639" i="5"/>
  <c r="N640" i="5"/>
  <c r="N366" i="5"/>
  <c r="N642" i="5"/>
  <c r="N643" i="5"/>
  <c r="N644" i="5"/>
  <c r="N645" i="5"/>
  <c r="N646" i="5"/>
  <c r="N647" i="5"/>
  <c r="N657" i="5"/>
  <c r="N658" i="5"/>
  <c r="N659" i="5"/>
  <c r="N660" i="5"/>
  <c r="N1289" i="5"/>
  <c r="N661" i="5"/>
  <c r="N1290" i="5"/>
  <c r="N1291" i="5"/>
  <c r="N1292" i="5"/>
  <c r="N666" i="5"/>
  <c r="N667" i="5"/>
  <c r="N669" i="5"/>
  <c r="N670" i="5"/>
  <c r="N676" i="5"/>
  <c r="N677" i="5"/>
  <c r="N678" i="5"/>
  <c r="N679" i="5"/>
  <c r="N680" i="5"/>
  <c r="N681" i="5"/>
  <c r="N682" i="5"/>
  <c r="N683" i="5"/>
  <c r="N684" i="5"/>
  <c r="N685" i="5"/>
  <c r="N686" i="5"/>
  <c r="N687" i="5"/>
  <c r="N688" i="5"/>
  <c r="N689" i="5"/>
  <c r="N690" i="5"/>
  <c r="N691" i="5"/>
  <c r="N692" i="5"/>
  <c r="N693" i="5"/>
  <c r="N694" i="5"/>
  <c r="N698" i="5"/>
  <c r="N696" i="5"/>
  <c r="N695" i="5"/>
  <c r="N697" i="5"/>
  <c r="N699" i="5"/>
  <c r="N700" i="5"/>
  <c r="N704" i="5"/>
  <c r="N705" i="5"/>
  <c r="N706" i="5"/>
  <c r="N707" i="5"/>
  <c r="N708" i="5"/>
  <c r="N709" i="5"/>
  <c r="N710" i="5"/>
  <c r="N711" i="5"/>
  <c r="N712" i="5"/>
  <c r="N713" i="5"/>
  <c r="N714" i="5"/>
  <c r="N715" i="5"/>
  <c r="N716" i="5"/>
  <c r="N717" i="5"/>
  <c r="N718" i="5"/>
  <c r="N719" i="5"/>
  <c r="N720" i="5"/>
  <c r="N721" i="5"/>
  <c r="N722" i="5"/>
  <c r="N723" i="5"/>
  <c r="N724" i="5"/>
  <c r="N725" i="5"/>
  <c r="N726" i="5"/>
  <c r="N727" i="5"/>
  <c r="N728" i="5"/>
  <c r="N729" i="5"/>
  <c r="N730" i="5"/>
  <c r="N731" i="5"/>
  <c r="N732" i="5"/>
  <c r="N733" i="5"/>
  <c r="N734" i="5"/>
  <c r="N735" i="5"/>
  <c r="N736" i="5"/>
  <c r="N737" i="5"/>
  <c r="N738" i="5"/>
  <c r="N739" i="5"/>
  <c r="N740" i="5"/>
  <c r="N741" i="5"/>
  <c r="N742" i="5"/>
  <c r="N743" i="5"/>
  <c r="N744" i="5"/>
  <c r="N745" i="5"/>
  <c r="N746" i="5"/>
  <c r="N747" i="5"/>
  <c r="N748" i="5"/>
  <c r="N749" i="5"/>
  <c r="N750" i="5"/>
  <c r="N751" i="5"/>
  <c r="N752" i="5"/>
  <c r="N753" i="5"/>
  <c r="N754" i="5"/>
  <c r="N755" i="5"/>
  <c r="N756" i="5"/>
  <c r="N757" i="5"/>
  <c r="N758" i="5"/>
  <c r="N759" i="5"/>
  <c r="N760" i="5"/>
  <c r="N761" i="5"/>
  <c r="N762" i="5"/>
  <c r="N763" i="5"/>
  <c r="N764" i="5"/>
  <c r="N765" i="5"/>
  <c r="N766" i="5"/>
  <c r="N767" i="5"/>
  <c r="N768" i="5"/>
  <c r="N769" i="5"/>
  <c r="N770" i="5"/>
  <c r="N771" i="5"/>
  <c r="N772" i="5"/>
  <c r="N773" i="5"/>
  <c r="N774" i="5"/>
  <c r="N775" i="5"/>
  <c r="N776" i="5"/>
  <c r="N777" i="5"/>
  <c r="N778" i="5"/>
  <c r="N779" i="5"/>
  <c r="N780" i="5"/>
  <c r="N781" i="5"/>
  <c r="N782" i="5"/>
  <c r="N783" i="5"/>
  <c r="N784" i="5"/>
  <c r="N785" i="5"/>
  <c r="N786" i="5"/>
  <c r="N787" i="5"/>
  <c r="N788" i="5"/>
  <c r="N789" i="5"/>
  <c r="N790" i="5"/>
  <c r="N791" i="5"/>
  <c r="N792" i="5"/>
  <c r="N793" i="5"/>
  <c r="N794" i="5"/>
  <c r="N795" i="5"/>
  <c r="N796" i="5"/>
  <c r="N797" i="5"/>
  <c r="N798" i="5"/>
  <c r="N799" i="5"/>
  <c r="N800" i="5"/>
  <c r="N222" i="5"/>
  <c r="N802" i="5"/>
  <c r="N803" i="5"/>
  <c r="N804" i="5"/>
  <c r="N805" i="5"/>
  <c r="N806" i="5"/>
  <c r="N807" i="5"/>
  <c r="N808" i="5"/>
  <c r="N809" i="5"/>
  <c r="N810" i="5"/>
  <c r="N811" i="5"/>
  <c r="N812" i="5"/>
  <c r="N813" i="5"/>
  <c r="N814" i="5"/>
  <c r="N815" i="5"/>
  <c r="N816" i="5"/>
  <c r="N817" i="5"/>
  <c r="N818" i="5"/>
  <c r="N819" i="5"/>
  <c r="N820" i="5"/>
  <c r="N821" i="5"/>
  <c r="N822" i="5"/>
  <c r="N823" i="5"/>
  <c r="N824" i="5"/>
  <c r="N825" i="5"/>
  <c r="N826" i="5"/>
  <c r="N827" i="5"/>
  <c r="N828" i="5"/>
  <c r="N829" i="5"/>
  <c r="N830" i="5"/>
  <c r="N831" i="5"/>
  <c r="N832" i="5"/>
  <c r="N833" i="5"/>
  <c r="N834" i="5"/>
  <c r="N835" i="5"/>
  <c r="N836" i="5"/>
  <c r="N837" i="5"/>
  <c r="N838" i="5"/>
  <c r="N839" i="5"/>
  <c r="N840" i="5"/>
  <c r="N841" i="5"/>
  <c r="N842" i="5"/>
  <c r="N843" i="5"/>
  <c r="N845" i="5"/>
  <c r="N846" i="5"/>
  <c r="N847" i="5"/>
  <c r="N848" i="5"/>
  <c r="N849" i="5"/>
  <c r="N850" i="5"/>
  <c r="N851" i="5"/>
  <c r="N852" i="5"/>
  <c r="N853" i="5"/>
  <c r="N854" i="5"/>
  <c r="N349" i="5"/>
  <c r="N350" i="5"/>
  <c r="N346" i="5"/>
  <c r="N347" i="5"/>
  <c r="N334" i="5"/>
  <c r="N348" i="5"/>
  <c r="N351" i="5"/>
  <c r="N352" i="5"/>
  <c r="N380" i="5"/>
  <c r="N397" i="5"/>
  <c r="N396" i="5"/>
  <c r="N394" i="5"/>
  <c r="N395" i="5"/>
  <c r="N449" i="5"/>
  <c r="N453" i="5"/>
  <c r="N451" i="5"/>
  <c r="N450" i="5"/>
  <c r="N446" i="5"/>
  <c r="N445" i="5"/>
  <c r="N436" i="5"/>
  <c r="N435" i="5"/>
  <c r="N530" i="5"/>
  <c r="N533" i="5"/>
  <c r="N527" i="5"/>
  <c r="N528" i="5"/>
  <c r="N517" i="5"/>
  <c r="N531" i="5"/>
  <c r="N605" i="5"/>
  <c r="N626" i="5"/>
  <c r="N613" i="5"/>
  <c r="N573" i="5"/>
  <c r="N574" i="5"/>
  <c r="N623" i="5"/>
  <c r="N624" i="5"/>
  <c r="N671" i="5"/>
  <c r="N672" i="5"/>
  <c r="N673" i="5"/>
  <c r="N674" i="5"/>
  <c r="N675" i="5"/>
  <c r="N668" i="5"/>
  <c r="N702" i="5"/>
  <c r="N701" i="5"/>
  <c r="N703" i="5"/>
  <c r="F111" i="14"/>
  <c r="I111" i="14" s="1"/>
  <c r="F109" i="14"/>
  <c r="I109" i="14" s="1"/>
  <c r="F108" i="14"/>
  <c r="I108" i="14" s="1"/>
  <c r="F106" i="14"/>
  <c r="I106" i="14" s="1"/>
  <c r="F105" i="14"/>
  <c r="I105" i="14" s="1"/>
  <c r="F104" i="14"/>
  <c r="I104" i="14" s="1"/>
  <c r="F103" i="14"/>
  <c r="I103" i="14" s="1"/>
  <c r="F102" i="14"/>
  <c r="I102" i="14" s="1"/>
  <c r="F101" i="14"/>
  <c r="I101" i="14" s="1"/>
  <c r="F100" i="14"/>
  <c r="I100" i="14" s="1"/>
  <c r="F95" i="14"/>
  <c r="I95" i="14" s="1"/>
  <c r="F93" i="14"/>
  <c r="I93" i="14" s="1"/>
  <c r="F92" i="14"/>
  <c r="I92" i="14" s="1"/>
  <c r="F91" i="14"/>
  <c r="I91" i="14" s="1"/>
  <c r="F90" i="14"/>
  <c r="I90" i="14" s="1"/>
  <c r="F89" i="14"/>
  <c r="I89" i="14" s="1"/>
  <c r="F88" i="14"/>
  <c r="I88" i="14" s="1"/>
  <c r="F86" i="14"/>
  <c r="I86" i="14" s="1"/>
  <c r="F85" i="14"/>
  <c r="I85" i="14" s="1"/>
  <c r="F84" i="14"/>
  <c r="I84" i="14" s="1"/>
  <c r="F83" i="14"/>
  <c r="I83" i="14" s="1"/>
  <c r="F82" i="14"/>
  <c r="I82" i="14" s="1"/>
  <c r="F81" i="14"/>
  <c r="I81" i="14" s="1"/>
  <c r="J28" i="14" l="1"/>
  <c r="F37" i="14"/>
  <c r="K114" i="14"/>
  <c r="J114" i="14"/>
  <c r="K88" i="14"/>
  <c r="J88" i="14"/>
  <c r="J101" i="14"/>
  <c r="K101" i="14"/>
  <c r="K89" i="14"/>
  <c r="J89" i="14"/>
  <c r="K102" i="14"/>
  <c r="J102" i="14"/>
  <c r="K117" i="14"/>
  <c r="J117" i="14"/>
  <c r="J81" i="14"/>
  <c r="K81" i="14"/>
  <c r="K90" i="14"/>
  <c r="J90" i="14"/>
  <c r="K103" i="14"/>
  <c r="J103" i="14"/>
  <c r="K82" i="14"/>
  <c r="J82" i="14"/>
  <c r="K91" i="14"/>
  <c r="J91" i="14"/>
  <c r="K104" i="14"/>
  <c r="J104" i="14"/>
  <c r="K83" i="14"/>
  <c r="J83" i="14"/>
  <c r="J105" i="14"/>
  <c r="K105" i="14"/>
  <c r="K93" i="14"/>
  <c r="J93" i="14"/>
  <c r="K106" i="14"/>
  <c r="J106" i="14"/>
  <c r="K113" i="14"/>
  <c r="J113" i="14"/>
  <c r="K92" i="14"/>
  <c r="J92" i="14"/>
  <c r="K85" i="14"/>
  <c r="J85" i="14"/>
  <c r="K95" i="14"/>
  <c r="J95" i="14"/>
  <c r="K108" i="14"/>
  <c r="J108" i="14"/>
  <c r="K84" i="14"/>
  <c r="J84" i="14"/>
  <c r="K86" i="14"/>
  <c r="J86" i="14"/>
  <c r="K100" i="14"/>
  <c r="J100" i="14"/>
  <c r="J109" i="14"/>
  <c r="K109" i="14"/>
  <c r="K111" i="14"/>
  <c r="J111" i="14"/>
  <c r="F76" i="14"/>
  <c r="I76" i="14" s="1"/>
  <c r="F75" i="14"/>
  <c r="I75" i="14" s="1"/>
  <c r="F74" i="14"/>
  <c r="I74" i="14" s="1"/>
  <c r="F68" i="14"/>
  <c r="I68" i="14" s="1"/>
  <c r="F41" i="14" l="1"/>
  <c r="I41" i="14" s="1"/>
  <c r="J37" i="14"/>
  <c r="I37" i="14"/>
  <c r="K37" i="14"/>
  <c r="K68" i="14"/>
  <c r="J68" i="14"/>
  <c r="K75" i="14"/>
  <c r="J75" i="14"/>
  <c r="K76" i="14"/>
  <c r="J76" i="14"/>
  <c r="K74" i="14"/>
  <c r="J74" i="14"/>
  <c r="F69" i="14"/>
  <c r="I69" i="14" s="1"/>
  <c r="F67" i="14"/>
  <c r="I67" i="14" s="1"/>
  <c r="F66" i="14"/>
  <c r="I66" i="14" s="1"/>
  <c r="F65" i="14"/>
  <c r="I65" i="14" s="1"/>
  <c r="F64" i="14"/>
  <c r="I64" i="14" s="1"/>
  <c r="P2" i="10"/>
  <c r="P3" i="10"/>
  <c r="P4" i="10"/>
  <c r="P5" i="10"/>
  <c r="O2" i="10"/>
  <c r="O3" i="10"/>
  <c r="O4" i="10"/>
  <c r="O5" i="10"/>
  <c r="P59" i="10" l="1"/>
  <c r="J41" i="14"/>
  <c r="K64" i="14"/>
  <c r="J64" i="14"/>
  <c r="J66" i="14"/>
  <c r="K66" i="14"/>
  <c r="J67" i="14"/>
  <c r="K67" i="14"/>
  <c r="K69" i="14"/>
  <c r="J69" i="14"/>
  <c r="K65" i="14"/>
  <c r="J65" i="14"/>
  <c r="F123" i="14"/>
  <c r="I123" i="14" s="1"/>
  <c r="F122" i="14"/>
  <c r="I122" i="14" s="1"/>
  <c r="F121" i="14"/>
  <c r="I121" i="14" s="1"/>
  <c r="F120" i="14"/>
  <c r="I120" i="14" s="1"/>
  <c r="F118" i="14"/>
  <c r="I118" i="14" s="1"/>
  <c r="F116" i="14"/>
  <c r="I116" i="14" s="1"/>
  <c r="F115" i="14"/>
  <c r="I115" i="14" s="1"/>
  <c r="F112" i="14"/>
  <c r="I112" i="14" s="1"/>
  <c r="F107" i="14"/>
  <c r="I107" i="14" s="1"/>
  <c r="F99" i="14"/>
  <c r="I99" i="14" s="1"/>
  <c r="F97" i="14"/>
  <c r="I97" i="14" s="1"/>
  <c r="F96" i="14"/>
  <c r="I96" i="14" s="1"/>
  <c r="F94" i="14"/>
  <c r="I94" i="14" s="1"/>
  <c r="F87" i="14"/>
  <c r="I87" i="14" s="1"/>
  <c r="F80" i="14"/>
  <c r="I80" i="14" s="1"/>
  <c r="F78" i="14"/>
  <c r="I78" i="14" s="1"/>
  <c r="F77" i="14"/>
  <c r="I77" i="14" s="1"/>
  <c r="F73" i="14"/>
  <c r="I73" i="14" s="1"/>
  <c r="F71" i="14"/>
  <c r="I71" i="14" s="1"/>
  <c r="F63" i="14"/>
  <c r="I63" i="14" s="1"/>
  <c r="F62" i="14"/>
  <c r="I62" i="14" s="1"/>
  <c r="F61" i="14"/>
  <c r="I61" i="14" s="1"/>
  <c r="F59" i="14"/>
  <c r="I59" i="14" s="1"/>
  <c r="F58" i="14"/>
  <c r="I58" i="14" s="1"/>
  <c r="F56" i="1"/>
  <c r="I56" i="1" s="1"/>
  <c r="F55" i="1"/>
  <c r="I55" i="1" s="1"/>
  <c r="F54" i="14"/>
  <c r="I54" i="14" s="1"/>
  <c r="F52" i="1"/>
  <c r="I52" i="1" s="1"/>
  <c r="F50" i="1"/>
  <c r="I50" i="1" s="1"/>
  <c r="F48" i="1"/>
  <c r="I48" i="1" s="1"/>
  <c r="F47" i="1"/>
  <c r="I47" i="1" s="1"/>
  <c r="I46" i="1"/>
  <c r="F45" i="1"/>
  <c r="I45" i="1" s="1"/>
  <c r="F44" i="1"/>
  <c r="I44" i="1" s="1"/>
  <c r="F43" i="1"/>
  <c r="I43" i="1" s="1"/>
  <c r="R2" i="5"/>
  <c r="R3" i="5"/>
  <c r="R4" i="5"/>
  <c r="R5" i="5"/>
  <c r="R6" i="5"/>
  <c r="R7" i="5"/>
  <c r="R8" i="5"/>
  <c r="R9" i="5"/>
  <c r="R10" i="5"/>
  <c r="R11" i="5"/>
  <c r="R12" i="5"/>
  <c r="R13" i="5"/>
  <c r="R14" i="5"/>
  <c r="R15" i="5"/>
  <c r="R197" i="5"/>
  <c r="R100" i="5"/>
  <c r="R18" i="5"/>
  <c r="R102" i="5"/>
  <c r="R104" i="5"/>
  <c r="R21" i="5"/>
  <c r="R22" i="5"/>
  <c r="R16" i="5"/>
  <c r="R105" i="5"/>
  <c r="R25" i="5"/>
  <c r="R26" i="5"/>
  <c r="R27" i="5"/>
  <c r="R28" i="5"/>
  <c r="R29" i="5"/>
  <c r="R30" i="5"/>
  <c r="R31" i="5"/>
  <c r="R417" i="5"/>
  <c r="R33" i="5"/>
  <c r="R34" i="5"/>
  <c r="R35" i="5"/>
  <c r="R36" i="5"/>
  <c r="R37" i="5"/>
  <c r="R38" i="5"/>
  <c r="R39" i="5"/>
  <c r="R40" i="5"/>
  <c r="R419" i="5"/>
  <c r="R42" i="5"/>
  <c r="R43" i="5"/>
  <c r="R44" i="5"/>
  <c r="R45" i="5"/>
  <c r="R46" i="5"/>
  <c r="R47" i="5"/>
  <c r="R48" i="5"/>
  <c r="R49" i="5"/>
  <c r="R50" i="5"/>
  <c r="R51" i="5"/>
  <c r="R52" i="5"/>
  <c r="R53" i="5"/>
  <c r="R54" i="5"/>
  <c r="R55" i="5"/>
  <c r="R17" i="5"/>
  <c r="R123" i="5"/>
  <c r="R58" i="5"/>
  <c r="R59" i="5"/>
  <c r="R60" i="5"/>
  <c r="R61" i="5"/>
  <c r="R62" i="5"/>
  <c r="R63" i="5"/>
  <c r="R64" i="5"/>
  <c r="R65" i="5"/>
  <c r="R66" i="5"/>
  <c r="R67" i="5"/>
  <c r="R68" i="5"/>
  <c r="R69" i="5"/>
  <c r="R70" i="5"/>
  <c r="R19" i="5"/>
  <c r="R125" i="5"/>
  <c r="R73" i="5"/>
  <c r="R74" i="5"/>
  <c r="R75" i="5"/>
  <c r="R76" i="5"/>
  <c r="R77" i="5"/>
  <c r="R78" i="5"/>
  <c r="R79" i="5"/>
  <c r="R80" i="5"/>
  <c r="R81" i="5"/>
  <c r="R82" i="5"/>
  <c r="R83" i="5"/>
  <c r="R84" i="5"/>
  <c r="R85" i="5"/>
  <c r="R86" i="5"/>
  <c r="R87" i="5"/>
  <c r="R20" i="5"/>
  <c r="R204" i="5"/>
  <c r="R90" i="5"/>
  <c r="R91" i="5"/>
  <c r="R92" i="5"/>
  <c r="R93" i="5"/>
  <c r="R94" i="5"/>
  <c r="R95" i="5"/>
  <c r="R96" i="5"/>
  <c r="R97" i="5"/>
  <c r="R98" i="5"/>
  <c r="R99" i="5"/>
  <c r="R23" i="5"/>
  <c r="R101" i="5"/>
  <c r="R126" i="5"/>
  <c r="R103" i="5"/>
  <c r="R155" i="5"/>
  <c r="R156" i="5"/>
  <c r="R106" i="5"/>
  <c r="R107" i="5"/>
  <c r="R108" i="5"/>
  <c r="R109" i="5"/>
  <c r="R110" i="5"/>
  <c r="R111" i="5"/>
  <c r="R112" i="5"/>
  <c r="R113" i="5"/>
  <c r="R114" i="5"/>
  <c r="R115" i="5"/>
  <c r="R116" i="5"/>
  <c r="R117" i="5"/>
  <c r="R118" i="5"/>
  <c r="R119" i="5"/>
  <c r="R120" i="5"/>
  <c r="R121" i="5"/>
  <c r="R122" i="5"/>
  <c r="R205" i="5"/>
  <c r="R124" i="5"/>
  <c r="R206" i="5"/>
  <c r="R157" i="5"/>
  <c r="R127" i="5"/>
  <c r="R128" i="5"/>
  <c r="R129" i="5"/>
  <c r="R130" i="5"/>
  <c r="R131" i="5"/>
  <c r="R575" i="5"/>
  <c r="R576" i="5"/>
  <c r="R142" i="5"/>
  <c r="R607" i="5"/>
  <c r="R136" i="5"/>
  <c r="R595" i="5"/>
  <c r="R578" i="5"/>
  <c r="R628" i="5"/>
  <c r="R608" i="5"/>
  <c r="R137" i="5"/>
  <c r="R629" i="5"/>
  <c r="R630" i="5"/>
  <c r="R144" i="5"/>
  <c r="R145" i="5"/>
  <c r="R146" i="5"/>
  <c r="R147" i="5"/>
  <c r="R148" i="5"/>
  <c r="R149" i="5"/>
  <c r="R150" i="5"/>
  <c r="R151" i="5"/>
  <c r="R152" i="5"/>
  <c r="R153" i="5"/>
  <c r="R154" i="5"/>
  <c r="R24" i="5"/>
  <c r="R207" i="5"/>
  <c r="R234" i="5"/>
  <c r="R237" i="5"/>
  <c r="R159" i="5"/>
  <c r="R160" i="5"/>
  <c r="R161" i="5"/>
  <c r="R162" i="5"/>
  <c r="R163" i="5"/>
  <c r="R164" i="5"/>
  <c r="R165" i="5"/>
  <c r="R166" i="5"/>
  <c r="R167" i="5"/>
  <c r="R168" i="5"/>
  <c r="R169" i="5"/>
  <c r="R170" i="5"/>
  <c r="R171" i="5"/>
  <c r="R172" i="5"/>
  <c r="R173" i="5"/>
  <c r="R174" i="5"/>
  <c r="R175" i="5"/>
  <c r="R176" i="5"/>
  <c r="R177" i="5"/>
  <c r="R178" i="5"/>
  <c r="R179" i="5"/>
  <c r="R180" i="5"/>
  <c r="R181" i="5"/>
  <c r="R182" i="5"/>
  <c r="R183" i="5"/>
  <c r="R184" i="5"/>
  <c r="R185" i="5"/>
  <c r="R186" i="5"/>
  <c r="R187" i="5"/>
  <c r="R188" i="5"/>
  <c r="R189" i="5"/>
  <c r="R56" i="5"/>
  <c r="R158" i="5"/>
  <c r="R190" i="5"/>
  <c r="R193" i="5"/>
  <c r="R194" i="5"/>
  <c r="R195" i="5"/>
  <c r="R196" i="5"/>
  <c r="R191" i="5"/>
  <c r="R198" i="5"/>
  <c r="R199" i="5"/>
  <c r="R200" i="5"/>
  <c r="R201" i="5"/>
  <c r="R202" i="5"/>
  <c r="R203" i="5"/>
  <c r="R57" i="5"/>
  <c r="R267" i="5"/>
  <c r="R192" i="5"/>
  <c r="R272" i="5"/>
  <c r="R208" i="5"/>
  <c r="R209" i="5"/>
  <c r="R210" i="5"/>
  <c r="R211" i="5"/>
  <c r="R212" i="5"/>
  <c r="R213" i="5"/>
  <c r="R634" i="5"/>
  <c r="R215" i="5"/>
  <c r="R216" i="5"/>
  <c r="R217" i="5"/>
  <c r="R218" i="5"/>
  <c r="R219" i="5"/>
  <c r="R220" i="5"/>
  <c r="R221" i="5"/>
  <c r="R304" i="5"/>
  <c r="R223" i="5"/>
  <c r="R224" i="5"/>
  <c r="R225" i="5"/>
  <c r="R226" i="5"/>
  <c r="R227" i="5"/>
  <c r="R228" i="5"/>
  <c r="R229" i="5"/>
  <c r="R230" i="5"/>
  <c r="R231" i="5"/>
  <c r="R232" i="5"/>
  <c r="R233" i="5"/>
  <c r="R71" i="5"/>
  <c r="R235" i="5"/>
  <c r="R236" i="5"/>
  <c r="R295" i="5"/>
  <c r="R238" i="5"/>
  <c r="R239" i="5"/>
  <c r="R240" i="5"/>
  <c r="R241" i="5"/>
  <c r="R242" i="5"/>
  <c r="R243" i="5"/>
  <c r="R244" i="5"/>
  <c r="R245" i="5"/>
  <c r="R246" i="5"/>
  <c r="R247" i="5"/>
  <c r="R248" i="5"/>
  <c r="R249" i="5"/>
  <c r="R250" i="5"/>
  <c r="R251" i="5"/>
  <c r="R252" i="5"/>
  <c r="R253" i="5"/>
  <c r="R254" i="5"/>
  <c r="R255" i="5"/>
  <c r="R256" i="5"/>
  <c r="R257" i="5"/>
  <c r="R258" i="5"/>
  <c r="R259" i="5"/>
  <c r="R260" i="5"/>
  <c r="R261" i="5"/>
  <c r="R262" i="5"/>
  <c r="R263" i="5"/>
  <c r="R264" i="5"/>
  <c r="R265" i="5"/>
  <c r="R266" i="5"/>
  <c r="R72" i="5"/>
  <c r="R268" i="5"/>
  <c r="R269" i="5"/>
  <c r="R270" i="5"/>
  <c r="R271" i="5"/>
  <c r="R296" i="5"/>
  <c r="R273" i="5"/>
  <c r="R274" i="5"/>
  <c r="R275" i="5"/>
  <c r="R276" i="5"/>
  <c r="R277" i="5"/>
  <c r="R278" i="5"/>
  <c r="R279" i="5"/>
  <c r="R280" i="5"/>
  <c r="R281" i="5"/>
  <c r="R282" i="5"/>
  <c r="R283" i="5"/>
  <c r="R284" i="5"/>
  <c r="R285" i="5"/>
  <c r="R286" i="5"/>
  <c r="R287" i="5"/>
  <c r="R288" i="5"/>
  <c r="R289" i="5"/>
  <c r="R290" i="5"/>
  <c r="R291" i="5"/>
  <c r="R292" i="5"/>
  <c r="R293" i="5"/>
  <c r="R294" i="5"/>
  <c r="R88" i="5"/>
  <c r="R297" i="5"/>
  <c r="R298" i="5"/>
  <c r="R299" i="5"/>
  <c r="R300" i="5"/>
  <c r="R301" i="5"/>
  <c r="R302" i="5"/>
  <c r="R303" i="5"/>
  <c r="R542" i="5"/>
  <c r="R305" i="5"/>
  <c r="R306" i="5"/>
  <c r="R307" i="5"/>
  <c r="R308" i="5"/>
  <c r="R309" i="5"/>
  <c r="R310" i="5"/>
  <c r="R311" i="5"/>
  <c r="R312" i="5"/>
  <c r="R313" i="5"/>
  <c r="R314" i="5"/>
  <c r="R315" i="5"/>
  <c r="R316" i="5"/>
  <c r="R317" i="5"/>
  <c r="R318" i="5"/>
  <c r="R319" i="5"/>
  <c r="R320" i="5"/>
  <c r="R321" i="5"/>
  <c r="R322" i="5"/>
  <c r="R323" i="5"/>
  <c r="R324" i="5"/>
  <c r="R325" i="5"/>
  <c r="R326" i="5"/>
  <c r="R327" i="5"/>
  <c r="R328" i="5"/>
  <c r="R329" i="5"/>
  <c r="R330" i="5"/>
  <c r="R331" i="5"/>
  <c r="R332" i="5"/>
  <c r="R335" i="5"/>
  <c r="R336" i="5"/>
  <c r="R333" i="5"/>
  <c r="R337" i="5"/>
  <c r="R338" i="5"/>
  <c r="R339" i="5"/>
  <c r="R340" i="5"/>
  <c r="R341" i="5"/>
  <c r="R342" i="5"/>
  <c r="R343" i="5"/>
  <c r="R344" i="5"/>
  <c r="R345" i="5"/>
  <c r="R353" i="5"/>
  <c r="R354" i="5"/>
  <c r="R355" i="5"/>
  <c r="R356" i="5"/>
  <c r="R357" i="5"/>
  <c r="R358" i="5"/>
  <c r="R359" i="5"/>
  <c r="R360" i="5"/>
  <c r="R361" i="5"/>
  <c r="R1384" i="5"/>
  <c r="R363" i="5"/>
  <c r="R364" i="5"/>
  <c r="R365" i="5"/>
  <c r="R1387" i="5"/>
  <c r="R367" i="5"/>
  <c r="R368" i="5"/>
  <c r="R369" i="5"/>
  <c r="R370" i="5"/>
  <c r="R371" i="5"/>
  <c r="R372" i="5"/>
  <c r="R373" i="5"/>
  <c r="R374" i="5"/>
  <c r="R375" i="5"/>
  <c r="R376" i="5"/>
  <c r="R377" i="5"/>
  <c r="R378" i="5"/>
  <c r="R379" i="5"/>
  <c r="R381" i="5"/>
  <c r="R382" i="5"/>
  <c r="R383" i="5"/>
  <c r="R384" i="5"/>
  <c r="R385" i="5"/>
  <c r="R386" i="5"/>
  <c r="R387" i="5"/>
  <c r="R388" i="5"/>
  <c r="R389" i="5"/>
  <c r="R390" i="5"/>
  <c r="R391" i="5"/>
  <c r="R392" i="5"/>
  <c r="R393" i="5"/>
  <c r="R398" i="5"/>
  <c r="R399" i="5"/>
  <c r="R400" i="5"/>
  <c r="R401" i="5"/>
  <c r="R402" i="5"/>
  <c r="R403" i="5"/>
  <c r="R404" i="5"/>
  <c r="R405" i="5"/>
  <c r="R406" i="5"/>
  <c r="R407" i="5"/>
  <c r="R408" i="5"/>
  <c r="R409" i="5"/>
  <c r="R410" i="5"/>
  <c r="R411" i="5"/>
  <c r="R412" i="5"/>
  <c r="R416" i="5"/>
  <c r="R413" i="5"/>
  <c r="R32" i="5"/>
  <c r="R418" i="5"/>
  <c r="R41" i="5"/>
  <c r="R414" i="5"/>
  <c r="R420" i="5"/>
  <c r="R421" i="5"/>
  <c r="R422" i="5"/>
  <c r="R423" i="5"/>
  <c r="R424" i="5"/>
  <c r="R425" i="5"/>
  <c r="R426" i="5"/>
  <c r="R427" i="5"/>
  <c r="R428" i="5"/>
  <c r="R429" i="5"/>
  <c r="R430" i="5"/>
  <c r="R431" i="5"/>
  <c r="R432" i="5"/>
  <c r="R447" i="5"/>
  <c r="R438" i="5"/>
  <c r="R439" i="5"/>
  <c r="R454" i="5"/>
  <c r="R440" i="5"/>
  <c r="R455" i="5"/>
  <c r="R448" i="5"/>
  <c r="R441" i="5"/>
  <c r="R456" i="5"/>
  <c r="R442" i="5"/>
  <c r="R443" i="5"/>
  <c r="R444" i="5"/>
  <c r="R434" i="5"/>
  <c r="R415" i="5"/>
  <c r="R433" i="5"/>
  <c r="R457" i="5"/>
  <c r="R458" i="5"/>
  <c r="R459" i="5"/>
  <c r="R460" i="5"/>
  <c r="R461" i="5"/>
  <c r="R462" i="5"/>
  <c r="R463" i="5"/>
  <c r="R464" i="5"/>
  <c r="R465" i="5"/>
  <c r="R466" i="5"/>
  <c r="R467" i="5"/>
  <c r="R468" i="5"/>
  <c r="R469" i="5"/>
  <c r="R470" i="5"/>
  <c r="R471" i="5"/>
  <c r="R472" i="5"/>
  <c r="R473" i="5"/>
  <c r="R474" i="5"/>
  <c r="R475" i="5"/>
  <c r="R476" i="5"/>
  <c r="R477" i="5"/>
  <c r="R478" i="5"/>
  <c r="R479" i="5"/>
  <c r="R480" i="5"/>
  <c r="R481" i="5"/>
  <c r="R482" i="5"/>
  <c r="R483" i="5"/>
  <c r="R484" i="5"/>
  <c r="R485" i="5"/>
  <c r="R486" i="5"/>
  <c r="R487" i="5"/>
  <c r="R488" i="5"/>
  <c r="R489" i="5"/>
  <c r="R490" i="5"/>
  <c r="R491" i="5"/>
  <c r="R492" i="5"/>
  <c r="R493" i="5"/>
  <c r="R494" i="5"/>
  <c r="R495" i="5"/>
  <c r="R496" i="5"/>
  <c r="R497" i="5"/>
  <c r="R498" i="5"/>
  <c r="R499" i="5"/>
  <c r="R500" i="5"/>
  <c r="R501" i="5"/>
  <c r="R502" i="5"/>
  <c r="R503" i="5"/>
  <c r="R504" i="5"/>
  <c r="R505" i="5"/>
  <c r="R506" i="5"/>
  <c r="R507" i="5"/>
  <c r="R508" i="5"/>
  <c r="R509" i="5"/>
  <c r="R510" i="5"/>
  <c r="R511" i="5"/>
  <c r="R512" i="5"/>
  <c r="R513" i="5"/>
  <c r="R514" i="5"/>
  <c r="R515" i="5"/>
  <c r="R516" i="5"/>
  <c r="R518" i="5"/>
  <c r="R519" i="5"/>
  <c r="R520" i="5"/>
  <c r="R521" i="5"/>
  <c r="R522" i="5"/>
  <c r="R523" i="5"/>
  <c r="R529" i="5"/>
  <c r="R525" i="5"/>
  <c r="R526" i="5"/>
  <c r="R534" i="5"/>
  <c r="R535" i="5"/>
  <c r="R536" i="5"/>
  <c r="R537" i="5"/>
  <c r="R538" i="5"/>
  <c r="R539" i="5"/>
  <c r="R540" i="5"/>
  <c r="R541" i="5"/>
  <c r="R1388" i="5"/>
  <c r="R1389" i="5"/>
  <c r="R544" i="5"/>
  <c r="R545" i="5"/>
  <c r="R546" i="5"/>
  <c r="R547" i="5"/>
  <c r="R548" i="5"/>
  <c r="R549" i="5"/>
  <c r="R550" i="5"/>
  <c r="R551" i="5"/>
  <c r="R552" i="5"/>
  <c r="R553" i="5"/>
  <c r="R554" i="5"/>
  <c r="R555" i="5"/>
  <c r="R556" i="5"/>
  <c r="R557" i="5"/>
  <c r="R558" i="5"/>
  <c r="R559" i="5"/>
  <c r="R560" i="5"/>
  <c r="R561" i="5"/>
  <c r="R562" i="5"/>
  <c r="R563" i="5"/>
  <c r="R564" i="5"/>
  <c r="R565" i="5"/>
  <c r="R566" i="5"/>
  <c r="R567" i="5"/>
  <c r="R568" i="5"/>
  <c r="R569" i="5"/>
  <c r="R570" i="5"/>
  <c r="R571" i="5"/>
  <c r="R133" i="5"/>
  <c r="R134" i="5"/>
  <c r="R135" i="5"/>
  <c r="R619" i="5"/>
  <c r="R614" i="5"/>
  <c r="R596" i="5"/>
  <c r="R579" i="5"/>
  <c r="R609" i="5"/>
  <c r="R580" i="5"/>
  <c r="R581" i="5"/>
  <c r="R582" i="5"/>
  <c r="R611" i="5"/>
  <c r="R583" i="5"/>
  <c r="R584" i="5"/>
  <c r="R618" i="5"/>
  <c r="R132" i="5"/>
  <c r="R598" i="5"/>
  <c r="R585" i="5"/>
  <c r="R599" i="5"/>
  <c r="R615" i="5"/>
  <c r="R586" i="5"/>
  <c r="R587" i="5"/>
  <c r="R588" i="5"/>
  <c r="R589" i="5"/>
  <c r="R590" i="5"/>
  <c r="R616" i="5"/>
  <c r="R617" i="5"/>
  <c r="R591" i="5"/>
  <c r="R600" i="5"/>
  <c r="R612" i="5"/>
  <c r="R592" i="5"/>
  <c r="R606" i="5"/>
  <c r="R594" i="5"/>
  <c r="R620" i="5"/>
  <c r="R601" i="5"/>
  <c r="R602" i="5"/>
  <c r="R603" i="5"/>
  <c r="R577" i="5"/>
  <c r="R143" i="5"/>
  <c r="R572" i="5"/>
  <c r="R631" i="5"/>
  <c r="R627" i="5"/>
  <c r="R593" i="5"/>
  <c r="R604" i="5"/>
  <c r="R621" i="5"/>
  <c r="R622" i="5"/>
  <c r="R632" i="5"/>
  <c r="R633" i="5"/>
  <c r="R625" i="5"/>
  <c r="R138" i="5"/>
  <c r="R139" i="5"/>
  <c r="R597" i="5"/>
  <c r="R140" i="5"/>
  <c r="R141" i="5"/>
  <c r="R1293" i="5"/>
  <c r="R362" i="5"/>
  <c r="R649" i="5"/>
  <c r="R656" i="5"/>
  <c r="R1294" i="5"/>
  <c r="R1295" i="5"/>
  <c r="R1296" i="5"/>
  <c r="R1297" i="5"/>
  <c r="R1298" i="5"/>
  <c r="R214" i="5"/>
  <c r="R636" i="5"/>
  <c r="R637" i="5"/>
  <c r="R638" i="5"/>
  <c r="R648" i="5"/>
  <c r="R639" i="5"/>
  <c r="R640" i="5"/>
  <c r="R366" i="5"/>
  <c r="R642" i="5"/>
  <c r="R643" i="5"/>
  <c r="R644" i="5"/>
  <c r="R645" i="5"/>
  <c r="R646" i="5"/>
  <c r="R647" i="5"/>
  <c r="R657" i="5"/>
  <c r="R658" i="5"/>
  <c r="R659" i="5"/>
  <c r="R660" i="5"/>
  <c r="R1289" i="5"/>
  <c r="R661" i="5"/>
  <c r="R1290" i="5"/>
  <c r="R1291" i="5"/>
  <c r="R1292" i="5"/>
  <c r="R666" i="5"/>
  <c r="R667" i="5"/>
  <c r="R669" i="5"/>
  <c r="R670" i="5"/>
  <c r="R676" i="5"/>
  <c r="R677" i="5"/>
  <c r="R678" i="5"/>
  <c r="R679" i="5"/>
  <c r="R680" i="5"/>
  <c r="R681" i="5"/>
  <c r="R682" i="5"/>
  <c r="R683" i="5"/>
  <c r="R684" i="5"/>
  <c r="R685" i="5"/>
  <c r="R686" i="5"/>
  <c r="R687" i="5"/>
  <c r="R688" i="5"/>
  <c r="R689" i="5"/>
  <c r="R690" i="5"/>
  <c r="R691" i="5"/>
  <c r="R692" i="5"/>
  <c r="R693" i="5"/>
  <c r="R694" i="5"/>
  <c r="R698" i="5"/>
  <c r="R696" i="5"/>
  <c r="R695" i="5"/>
  <c r="R697" i="5"/>
  <c r="R699" i="5"/>
  <c r="R700" i="5"/>
  <c r="R704" i="5"/>
  <c r="R705" i="5"/>
  <c r="R706" i="5"/>
  <c r="R707" i="5"/>
  <c r="R708" i="5"/>
  <c r="R709" i="5"/>
  <c r="R710" i="5"/>
  <c r="R711" i="5"/>
  <c r="R712" i="5"/>
  <c r="R713" i="5"/>
  <c r="R714" i="5"/>
  <c r="R715" i="5"/>
  <c r="R716" i="5"/>
  <c r="R717" i="5"/>
  <c r="R718" i="5"/>
  <c r="R719" i="5"/>
  <c r="R720" i="5"/>
  <c r="R721" i="5"/>
  <c r="R722" i="5"/>
  <c r="R723" i="5"/>
  <c r="R724" i="5"/>
  <c r="R725" i="5"/>
  <c r="R726" i="5"/>
  <c r="R727" i="5"/>
  <c r="R728" i="5"/>
  <c r="R729" i="5"/>
  <c r="R730" i="5"/>
  <c r="R731" i="5"/>
  <c r="R732" i="5"/>
  <c r="R733" i="5"/>
  <c r="R734" i="5"/>
  <c r="R735" i="5"/>
  <c r="R736" i="5"/>
  <c r="R737" i="5"/>
  <c r="R738" i="5"/>
  <c r="R739" i="5"/>
  <c r="R740" i="5"/>
  <c r="R741" i="5"/>
  <c r="R742" i="5"/>
  <c r="R743" i="5"/>
  <c r="R744" i="5"/>
  <c r="R745" i="5"/>
  <c r="R746" i="5"/>
  <c r="R747" i="5"/>
  <c r="R748" i="5"/>
  <c r="R749" i="5"/>
  <c r="R750" i="5"/>
  <c r="R751" i="5"/>
  <c r="R752" i="5"/>
  <c r="R753" i="5"/>
  <c r="R754" i="5"/>
  <c r="R755" i="5"/>
  <c r="R756" i="5"/>
  <c r="R757" i="5"/>
  <c r="R758" i="5"/>
  <c r="R759" i="5"/>
  <c r="R760" i="5"/>
  <c r="R761" i="5"/>
  <c r="R762" i="5"/>
  <c r="R763" i="5"/>
  <c r="R764" i="5"/>
  <c r="R765" i="5"/>
  <c r="R766" i="5"/>
  <c r="R767" i="5"/>
  <c r="R768" i="5"/>
  <c r="R769" i="5"/>
  <c r="R770" i="5"/>
  <c r="R771" i="5"/>
  <c r="R772" i="5"/>
  <c r="R773" i="5"/>
  <c r="R774" i="5"/>
  <c r="R775" i="5"/>
  <c r="R776" i="5"/>
  <c r="R777" i="5"/>
  <c r="R778" i="5"/>
  <c r="R779" i="5"/>
  <c r="R780" i="5"/>
  <c r="R781" i="5"/>
  <c r="R782" i="5"/>
  <c r="R783" i="5"/>
  <c r="R784" i="5"/>
  <c r="R785" i="5"/>
  <c r="R786" i="5"/>
  <c r="R787" i="5"/>
  <c r="R788" i="5"/>
  <c r="R789" i="5"/>
  <c r="R790" i="5"/>
  <c r="R791" i="5"/>
  <c r="R792" i="5"/>
  <c r="R793" i="5"/>
  <c r="R794" i="5"/>
  <c r="R795" i="5"/>
  <c r="R796" i="5"/>
  <c r="R797" i="5"/>
  <c r="R798" i="5"/>
  <c r="R799" i="5"/>
  <c r="R800" i="5"/>
  <c r="R222" i="5"/>
  <c r="R802" i="5"/>
  <c r="R803" i="5"/>
  <c r="R804" i="5"/>
  <c r="R805" i="5"/>
  <c r="R806" i="5"/>
  <c r="R807" i="5"/>
  <c r="R808" i="5"/>
  <c r="R809" i="5"/>
  <c r="R810" i="5"/>
  <c r="R811" i="5"/>
  <c r="R812" i="5"/>
  <c r="R813" i="5"/>
  <c r="R814" i="5"/>
  <c r="R815" i="5"/>
  <c r="R816" i="5"/>
  <c r="R817" i="5"/>
  <c r="R818" i="5"/>
  <c r="R819" i="5"/>
  <c r="R820" i="5"/>
  <c r="R821" i="5"/>
  <c r="R822" i="5"/>
  <c r="R823" i="5"/>
  <c r="R824" i="5"/>
  <c r="R825" i="5"/>
  <c r="R826" i="5"/>
  <c r="R827" i="5"/>
  <c r="R828" i="5"/>
  <c r="R829" i="5"/>
  <c r="R830" i="5"/>
  <c r="R831" i="5"/>
  <c r="R832" i="5"/>
  <c r="R833" i="5"/>
  <c r="R834" i="5"/>
  <c r="R835" i="5"/>
  <c r="R836" i="5"/>
  <c r="R837" i="5"/>
  <c r="R838" i="5"/>
  <c r="R839" i="5"/>
  <c r="R840" i="5"/>
  <c r="R841" i="5"/>
  <c r="R842" i="5"/>
  <c r="R843" i="5"/>
  <c r="R845" i="5"/>
  <c r="R846" i="5"/>
  <c r="R847" i="5"/>
  <c r="R848" i="5"/>
  <c r="R849" i="5"/>
  <c r="R850" i="5"/>
  <c r="R851" i="5"/>
  <c r="R852" i="5"/>
  <c r="R853" i="5"/>
  <c r="R854" i="5"/>
  <c r="R349" i="5"/>
  <c r="R350" i="5"/>
  <c r="R346" i="5"/>
  <c r="R347" i="5"/>
  <c r="R334" i="5"/>
  <c r="R348" i="5"/>
  <c r="R351" i="5"/>
  <c r="R352" i="5"/>
  <c r="R380" i="5"/>
  <c r="R397" i="5"/>
  <c r="R396" i="5"/>
  <c r="R394" i="5"/>
  <c r="R395" i="5"/>
  <c r="R449" i="5"/>
  <c r="R453" i="5"/>
  <c r="R451" i="5"/>
  <c r="R450" i="5"/>
  <c r="R446" i="5"/>
  <c r="R445" i="5"/>
  <c r="R436" i="5"/>
  <c r="R435" i="5"/>
  <c r="R530" i="5"/>
  <c r="R533" i="5"/>
  <c r="R527" i="5"/>
  <c r="R528" i="5"/>
  <c r="R517" i="5"/>
  <c r="R531" i="5"/>
  <c r="R605" i="5"/>
  <c r="R626" i="5"/>
  <c r="R613" i="5"/>
  <c r="R573" i="5"/>
  <c r="R574" i="5"/>
  <c r="R623" i="5"/>
  <c r="R624" i="5"/>
  <c r="R671" i="5"/>
  <c r="R672" i="5"/>
  <c r="R673" i="5"/>
  <c r="R674" i="5"/>
  <c r="R675" i="5"/>
  <c r="R668" i="5"/>
  <c r="R702" i="5"/>
  <c r="R701" i="5"/>
  <c r="R703" i="5"/>
  <c r="F52" i="14" l="1"/>
  <c r="I52" i="14" s="1"/>
  <c r="F43" i="14"/>
  <c r="F44" i="14"/>
  <c r="I44" i="14" s="1"/>
  <c r="F55" i="14"/>
  <c r="I55" i="14" s="1"/>
  <c r="F45" i="14"/>
  <c r="I45" i="14" s="1"/>
  <c r="F56" i="14"/>
  <c r="I56" i="14" s="1"/>
  <c r="F50" i="14"/>
  <c r="I50" i="14" s="1"/>
  <c r="F46" i="14"/>
  <c r="I46" i="14" s="1"/>
  <c r="F47" i="14"/>
  <c r="I47" i="14" s="1"/>
  <c r="F48" i="14"/>
  <c r="I48" i="14" s="1"/>
  <c r="F125" i="14"/>
  <c r="I125" i="14" s="1"/>
  <c r="F124" i="14"/>
  <c r="I124" i="14" s="1"/>
  <c r="F70" i="14"/>
  <c r="I70" i="14" s="1"/>
  <c r="J63" i="14"/>
  <c r="K63" i="14"/>
  <c r="K96" i="14"/>
  <c r="J96" i="14"/>
  <c r="K120" i="14"/>
  <c r="J120" i="14"/>
  <c r="K54" i="14"/>
  <c r="J54" i="14"/>
  <c r="F72" i="14"/>
  <c r="I72" i="14" s="1"/>
  <c r="K71" i="14"/>
  <c r="J71" i="14"/>
  <c r="K97" i="14"/>
  <c r="J97" i="14"/>
  <c r="K121" i="14"/>
  <c r="J121" i="14"/>
  <c r="F98" i="14"/>
  <c r="I98" i="14" s="1"/>
  <c r="J73" i="14"/>
  <c r="K73" i="14"/>
  <c r="K99" i="14"/>
  <c r="F119" i="14"/>
  <c r="I119" i="14" s="1"/>
  <c r="J99" i="14"/>
  <c r="J122" i="14"/>
  <c r="K122" i="14"/>
  <c r="K77" i="14"/>
  <c r="J77" i="14"/>
  <c r="K107" i="14"/>
  <c r="J107" i="14"/>
  <c r="K123" i="14"/>
  <c r="J123" i="14"/>
  <c r="J58" i="14"/>
  <c r="K58" i="14"/>
  <c r="F60" i="14"/>
  <c r="I60" i="14" s="1"/>
  <c r="K78" i="14"/>
  <c r="J78" i="14"/>
  <c r="K112" i="14"/>
  <c r="J112" i="14"/>
  <c r="K59" i="14"/>
  <c r="J59" i="14"/>
  <c r="K80" i="14"/>
  <c r="J80" i="14"/>
  <c r="J115" i="14"/>
  <c r="K115" i="14"/>
  <c r="K61" i="14"/>
  <c r="J61" i="14"/>
  <c r="K87" i="14"/>
  <c r="J87" i="14"/>
  <c r="K116" i="14"/>
  <c r="J116" i="14"/>
  <c r="K62" i="14"/>
  <c r="J62" i="14"/>
  <c r="K94" i="14"/>
  <c r="J94" i="14"/>
  <c r="J118" i="14"/>
  <c r="K118" i="14"/>
  <c r="F22" i="1"/>
  <c r="I22" i="1" s="1"/>
  <c r="Q2" i="5"/>
  <c r="Q3" i="5"/>
  <c r="Q4" i="5"/>
  <c r="Q5" i="5"/>
  <c r="Q6" i="5"/>
  <c r="Q8" i="5"/>
  <c r="Q9" i="5"/>
  <c r="Q10" i="5"/>
  <c r="Q11" i="5"/>
  <c r="Q12" i="5"/>
  <c r="Q13" i="5"/>
  <c r="Q14" i="5"/>
  <c r="Q15" i="5"/>
  <c r="Q197" i="5"/>
  <c r="Q100" i="5"/>
  <c r="Q18" i="5"/>
  <c r="Q102" i="5"/>
  <c r="Q104" i="5"/>
  <c r="Q21" i="5"/>
  <c r="Q22" i="5"/>
  <c r="Q16" i="5"/>
  <c r="Q105" i="5"/>
  <c r="Q25" i="5"/>
  <c r="Q26" i="5"/>
  <c r="Q27" i="5"/>
  <c r="Q28" i="5"/>
  <c r="Q29" i="5"/>
  <c r="Q30" i="5"/>
  <c r="Q31" i="5"/>
  <c r="Q417" i="5"/>
  <c r="Q33" i="5"/>
  <c r="Q34" i="5"/>
  <c r="Q35" i="5"/>
  <c r="Q36" i="5"/>
  <c r="Q37" i="5"/>
  <c r="Q38" i="5"/>
  <c r="Q39" i="5"/>
  <c r="Q40" i="5"/>
  <c r="Q419" i="5"/>
  <c r="Q42" i="5"/>
  <c r="Q43" i="5"/>
  <c r="Q44" i="5"/>
  <c r="Q45" i="5"/>
  <c r="Q46" i="5"/>
  <c r="Q47" i="5"/>
  <c r="Q48" i="5"/>
  <c r="Q49" i="5"/>
  <c r="Q50" i="5"/>
  <c r="Q51" i="5"/>
  <c r="Q52" i="5"/>
  <c r="Q53" i="5"/>
  <c r="Q54" i="5"/>
  <c r="Q55" i="5"/>
  <c r="Q17" i="5"/>
  <c r="Q123" i="5"/>
  <c r="Q58" i="5"/>
  <c r="Q59" i="5"/>
  <c r="Q60" i="5"/>
  <c r="Q61" i="5"/>
  <c r="Q62" i="5"/>
  <c r="Q63" i="5"/>
  <c r="Q64" i="5"/>
  <c r="Q65" i="5"/>
  <c r="Q66" i="5"/>
  <c r="Q67" i="5"/>
  <c r="Q68" i="5"/>
  <c r="Q69" i="5"/>
  <c r="Q70" i="5"/>
  <c r="Q19" i="5"/>
  <c r="Q125" i="5"/>
  <c r="Q73" i="5"/>
  <c r="Q74" i="5"/>
  <c r="Q75" i="5"/>
  <c r="Q76" i="5"/>
  <c r="Q77" i="5"/>
  <c r="Q78" i="5"/>
  <c r="Q79" i="5"/>
  <c r="Q80" i="5"/>
  <c r="Q81" i="5"/>
  <c r="Q82" i="5"/>
  <c r="Q83" i="5"/>
  <c r="Q84" i="5"/>
  <c r="Q85" i="5"/>
  <c r="Q86" i="5"/>
  <c r="Q87" i="5"/>
  <c r="Q20" i="5"/>
  <c r="Q204" i="5"/>
  <c r="Q90" i="5"/>
  <c r="Q91" i="5"/>
  <c r="Q92" i="5"/>
  <c r="Q93" i="5"/>
  <c r="Q94" i="5"/>
  <c r="Q95" i="5"/>
  <c r="Q96" i="5"/>
  <c r="Q97" i="5"/>
  <c r="Q98" i="5"/>
  <c r="Q99" i="5"/>
  <c r="Q23" i="5"/>
  <c r="Q101" i="5"/>
  <c r="Q126" i="5"/>
  <c r="Q103" i="5"/>
  <c r="Q155" i="5"/>
  <c r="Q156" i="5"/>
  <c r="Q106" i="5"/>
  <c r="Q107" i="5"/>
  <c r="Q108" i="5"/>
  <c r="Q109" i="5"/>
  <c r="Q110" i="5"/>
  <c r="Q111" i="5"/>
  <c r="Q112" i="5"/>
  <c r="Q113" i="5"/>
  <c r="Q114" i="5"/>
  <c r="Q115" i="5"/>
  <c r="Q116" i="5"/>
  <c r="Q117" i="5"/>
  <c r="Q118" i="5"/>
  <c r="Q119" i="5"/>
  <c r="Q120" i="5"/>
  <c r="Q121" i="5"/>
  <c r="Q122" i="5"/>
  <c r="Q205" i="5"/>
  <c r="Q124" i="5"/>
  <c r="Q206" i="5"/>
  <c r="Q157" i="5"/>
  <c r="Q127" i="5"/>
  <c r="Q128" i="5"/>
  <c r="Q129" i="5"/>
  <c r="Q130" i="5"/>
  <c r="Q131" i="5"/>
  <c r="Q575" i="5"/>
  <c r="Q576" i="5"/>
  <c r="Q142" i="5"/>
  <c r="Q607" i="5"/>
  <c r="Q136" i="5"/>
  <c r="Q595" i="5"/>
  <c r="Q578" i="5"/>
  <c r="Q628" i="5"/>
  <c r="Q608" i="5"/>
  <c r="Q137" i="5"/>
  <c r="Q629" i="5"/>
  <c r="Q630" i="5"/>
  <c r="Q144" i="5"/>
  <c r="Q145" i="5"/>
  <c r="Q146" i="5"/>
  <c r="Q147" i="5"/>
  <c r="Q148" i="5"/>
  <c r="Q149" i="5"/>
  <c r="Q150" i="5"/>
  <c r="Q151" i="5"/>
  <c r="Q152" i="5"/>
  <c r="Q153" i="5"/>
  <c r="Q154" i="5"/>
  <c r="Q24" i="5"/>
  <c r="Q207" i="5"/>
  <c r="Q234" i="5"/>
  <c r="Q237"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56" i="5"/>
  <c r="Q158" i="5"/>
  <c r="Q190" i="5"/>
  <c r="Q193" i="5"/>
  <c r="Q194" i="5"/>
  <c r="Q195" i="5"/>
  <c r="Q196" i="5"/>
  <c r="Q191" i="5"/>
  <c r="Q198" i="5"/>
  <c r="Q199" i="5"/>
  <c r="Q200" i="5"/>
  <c r="Q201" i="5"/>
  <c r="Q202" i="5"/>
  <c r="Q203" i="5"/>
  <c r="Q57" i="5"/>
  <c r="Q267" i="5"/>
  <c r="Q192" i="5"/>
  <c r="Q272" i="5"/>
  <c r="Q208" i="5"/>
  <c r="Q209" i="5"/>
  <c r="Q210" i="5"/>
  <c r="Q211" i="5"/>
  <c r="Q212" i="5"/>
  <c r="Q213" i="5"/>
  <c r="Q634" i="5"/>
  <c r="Q215" i="5"/>
  <c r="Q216" i="5"/>
  <c r="Q217" i="5"/>
  <c r="Q218" i="5"/>
  <c r="Q219" i="5"/>
  <c r="Q220" i="5"/>
  <c r="Q221" i="5"/>
  <c r="Q304" i="5"/>
  <c r="Q223" i="5"/>
  <c r="Q224" i="5"/>
  <c r="Q225" i="5"/>
  <c r="Q226" i="5"/>
  <c r="Q227" i="5"/>
  <c r="Q228" i="5"/>
  <c r="Q229" i="5"/>
  <c r="Q230" i="5"/>
  <c r="Q231" i="5"/>
  <c r="Q232" i="5"/>
  <c r="Q233" i="5"/>
  <c r="Q71" i="5"/>
  <c r="Q235" i="5"/>
  <c r="Q236" i="5"/>
  <c r="Q295"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6" i="5"/>
  <c r="Q72" i="5"/>
  <c r="Q268" i="5"/>
  <c r="Q269" i="5"/>
  <c r="Q270" i="5"/>
  <c r="Q271" i="5"/>
  <c r="Q296" i="5"/>
  <c r="Q273" i="5"/>
  <c r="Q274" i="5"/>
  <c r="Q275" i="5"/>
  <c r="Q276" i="5"/>
  <c r="Q277" i="5"/>
  <c r="Q278" i="5"/>
  <c r="Q279" i="5"/>
  <c r="Q280" i="5"/>
  <c r="Q281" i="5"/>
  <c r="Q282" i="5"/>
  <c r="Q283" i="5"/>
  <c r="Q284" i="5"/>
  <c r="Q285" i="5"/>
  <c r="Q286" i="5"/>
  <c r="Q287" i="5"/>
  <c r="Q288" i="5"/>
  <c r="Q289" i="5"/>
  <c r="Q290" i="5"/>
  <c r="Q291" i="5"/>
  <c r="Q292" i="5"/>
  <c r="Q293" i="5"/>
  <c r="Q294" i="5"/>
  <c r="Q88" i="5"/>
  <c r="Q297" i="5"/>
  <c r="Q298" i="5"/>
  <c r="Q299" i="5"/>
  <c r="Q300" i="5"/>
  <c r="Q301" i="5"/>
  <c r="Q302" i="5"/>
  <c r="Q303" i="5"/>
  <c r="Q542" i="5"/>
  <c r="Q305" i="5"/>
  <c r="Q306" i="5"/>
  <c r="Q307" i="5"/>
  <c r="Q308" i="5"/>
  <c r="Q309" i="5"/>
  <c r="Q310" i="5"/>
  <c r="Q311" i="5"/>
  <c r="Q312" i="5"/>
  <c r="Q313" i="5"/>
  <c r="Q314" i="5"/>
  <c r="Q315" i="5"/>
  <c r="Q316" i="5"/>
  <c r="Q317" i="5"/>
  <c r="Q318" i="5"/>
  <c r="Q319" i="5"/>
  <c r="Q320" i="5"/>
  <c r="Q321" i="5"/>
  <c r="Q322" i="5"/>
  <c r="Q323" i="5"/>
  <c r="Q324" i="5"/>
  <c r="Q325" i="5"/>
  <c r="Q326" i="5"/>
  <c r="Q327" i="5"/>
  <c r="Q328" i="5"/>
  <c r="Q329" i="5"/>
  <c r="Q330" i="5"/>
  <c r="Q331" i="5"/>
  <c r="Q332" i="5"/>
  <c r="Q335" i="5"/>
  <c r="Q336" i="5"/>
  <c r="Q333" i="5"/>
  <c r="Q337" i="5"/>
  <c r="Q338" i="5"/>
  <c r="Q339" i="5"/>
  <c r="Q340" i="5"/>
  <c r="Q341" i="5"/>
  <c r="Q342" i="5"/>
  <c r="Q343" i="5"/>
  <c r="Q344" i="5"/>
  <c r="Q345" i="5"/>
  <c r="Q353" i="5"/>
  <c r="Q354" i="5"/>
  <c r="Q355" i="5"/>
  <c r="Q356" i="5"/>
  <c r="Q357" i="5"/>
  <c r="Q358" i="5"/>
  <c r="Q359" i="5"/>
  <c r="Q360" i="5"/>
  <c r="Q361" i="5"/>
  <c r="Q1384" i="5"/>
  <c r="Q363" i="5"/>
  <c r="Q364" i="5"/>
  <c r="Q365" i="5"/>
  <c r="Q1387" i="5"/>
  <c r="Q367" i="5"/>
  <c r="Q368" i="5"/>
  <c r="Q369" i="5"/>
  <c r="Q370" i="5"/>
  <c r="Q371" i="5"/>
  <c r="Q372" i="5"/>
  <c r="Q373" i="5"/>
  <c r="Q374" i="5"/>
  <c r="Q375" i="5"/>
  <c r="Q376" i="5"/>
  <c r="Q377" i="5"/>
  <c r="Q378" i="5"/>
  <c r="Q379" i="5"/>
  <c r="Q381" i="5"/>
  <c r="Q382" i="5"/>
  <c r="Q383" i="5"/>
  <c r="Q384" i="5"/>
  <c r="Q385" i="5"/>
  <c r="Q386" i="5"/>
  <c r="Q387" i="5"/>
  <c r="Q388" i="5"/>
  <c r="Q389" i="5"/>
  <c r="Q390" i="5"/>
  <c r="Q391" i="5"/>
  <c r="Q392" i="5"/>
  <c r="Q393" i="5"/>
  <c r="Q398" i="5"/>
  <c r="Q399" i="5"/>
  <c r="Q400" i="5"/>
  <c r="Q401" i="5"/>
  <c r="Q402" i="5"/>
  <c r="Q403" i="5"/>
  <c r="Q404" i="5"/>
  <c r="Q405" i="5"/>
  <c r="Q406" i="5"/>
  <c r="Q407" i="5"/>
  <c r="Q408" i="5"/>
  <c r="Q409" i="5"/>
  <c r="Q410" i="5"/>
  <c r="Q411" i="5"/>
  <c r="Q412" i="5"/>
  <c r="Q416" i="5"/>
  <c r="Q413" i="5"/>
  <c r="Q32" i="5"/>
  <c r="Q418" i="5"/>
  <c r="Q41" i="5"/>
  <c r="Q414" i="5"/>
  <c r="Q420" i="5"/>
  <c r="Q421" i="5"/>
  <c r="Q422" i="5"/>
  <c r="Q423" i="5"/>
  <c r="Q424" i="5"/>
  <c r="Q425" i="5"/>
  <c r="Q426" i="5"/>
  <c r="Q427" i="5"/>
  <c r="Q428" i="5"/>
  <c r="Q429" i="5"/>
  <c r="Q430" i="5"/>
  <c r="Q431" i="5"/>
  <c r="Q432" i="5"/>
  <c r="Q447" i="5"/>
  <c r="Q438" i="5"/>
  <c r="Q439" i="5"/>
  <c r="Q454" i="5"/>
  <c r="Q440" i="5"/>
  <c r="Q455" i="5"/>
  <c r="Q448" i="5"/>
  <c r="Q441" i="5"/>
  <c r="Q456" i="5"/>
  <c r="Q442" i="5"/>
  <c r="Q443" i="5"/>
  <c r="Q444" i="5"/>
  <c r="Q434" i="5"/>
  <c r="Q415" i="5"/>
  <c r="Q433" i="5"/>
  <c r="Q457" i="5"/>
  <c r="Q458" i="5"/>
  <c r="Q459" i="5"/>
  <c r="Q460" i="5"/>
  <c r="Q461" i="5"/>
  <c r="Q462" i="5"/>
  <c r="Q463" i="5"/>
  <c r="Q464" i="5"/>
  <c r="Q465" i="5"/>
  <c r="Q466" i="5"/>
  <c r="Q467" i="5"/>
  <c r="Q468" i="5"/>
  <c r="Q469" i="5"/>
  <c r="Q470" i="5"/>
  <c r="Q471" i="5"/>
  <c r="Q472" i="5"/>
  <c r="Q473" i="5"/>
  <c r="Q474" i="5"/>
  <c r="Q475" i="5"/>
  <c r="Q476" i="5"/>
  <c r="Q477" i="5"/>
  <c r="Q478" i="5"/>
  <c r="Q479" i="5"/>
  <c r="Q480" i="5"/>
  <c r="Q481" i="5"/>
  <c r="Q482" i="5"/>
  <c r="Q483" i="5"/>
  <c r="Q484" i="5"/>
  <c r="Q485" i="5"/>
  <c r="Q486" i="5"/>
  <c r="Q487" i="5"/>
  <c r="Q488" i="5"/>
  <c r="Q489" i="5"/>
  <c r="Q490" i="5"/>
  <c r="Q491" i="5"/>
  <c r="Q492" i="5"/>
  <c r="Q493" i="5"/>
  <c r="Q494" i="5"/>
  <c r="Q495" i="5"/>
  <c r="Q496" i="5"/>
  <c r="Q497" i="5"/>
  <c r="Q498" i="5"/>
  <c r="Q499" i="5"/>
  <c r="Q500" i="5"/>
  <c r="Q501" i="5"/>
  <c r="Q502" i="5"/>
  <c r="Q503" i="5"/>
  <c r="Q504" i="5"/>
  <c r="Q505" i="5"/>
  <c r="Q506" i="5"/>
  <c r="Q507" i="5"/>
  <c r="Q508" i="5"/>
  <c r="Q509" i="5"/>
  <c r="Q510" i="5"/>
  <c r="Q511" i="5"/>
  <c r="Q512" i="5"/>
  <c r="Q513" i="5"/>
  <c r="Q514" i="5"/>
  <c r="Q515" i="5"/>
  <c r="Q516" i="5"/>
  <c r="Q518" i="5"/>
  <c r="Q519" i="5"/>
  <c r="Q520" i="5"/>
  <c r="Q521" i="5"/>
  <c r="Q522" i="5"/>
  <c r="Q523" i="5"/>
  <c r="Q529" i="5"/>
  <c r="Q525" i="5"/>
  <c r="Q526" i="5"/>
  <c r="Q534" i="5"/>
  <c r="Q535" i="5"/>
  <c r="Q536" i="5"/>
  <c r="Q537" i="5"/>
  <c r="Q538" i="5"/>
  <c r="Q539" i="5"/>
  <c r="Q540" i="5"/>
  <c r="Q541" i="5"/>
  <c r="Q1388" i="5"/>
  <c r="Q1389" i="5"/>
  <c r="Q544" i="5"/>
  <c r="Q545" i="5"/>
  <c r="Q546" i="5"/>
  <c r="Q547" i="5"/>
  <c r="Q548" i="5"/>
  <c r="Q549" i="5"/>
  <c r="Q550" i="5"/>
  <c r="Q551" i="5"/>
  <c r="Q552" i="5"/>
  <c r="Q553" i="5"/>
  <c r="Q554" i="5"/>
  <c r="Q555" i="5"/>
  <c r="Q556" i="5"/>
  <c r="Q557" i="5"/>
  <c r="Q558" i="5"/>
  <c r="Q559" i="5"/>
  <c r="Q560" i="5"/>
  <c r="Q561" i="5"/>
  <c r="Q562" i="5"/>
  <c r="Q563" i="5"/>
  <c r="Q564" i="5"/>
  <c r="Q565" i="5"/>
  <c r="Q566" i="5"/>
  <c r="Q567" i="5"/>
  <c r="Q568" i="5"/>
  <c r="Q569" i="5"/>
  <c r="Q570" i="5"/>
  <c r="Q571" i="5"/>
  <c r="Q133" i="5"/>
  <c r="Q134" i="5"/>
  <c r="Q135" i="5"/>
  <c r="Q619" i="5"/>
  <c r="Q614" i="5"/>
  <c r="Q596" i="5"/>
  <c r="Q579" i="5"/>
  <c r="Q609" i="5"/>
  <c r="Q580" i="5"/>
  <c r="Q581" i="5"/>
  <c r="Q582" i="5"/>
  <c r="Q611" i="5"/>
  <c r="Q583" i="5"/>
  <c r="Q584" i="5"/>
  <c r="Q618" i="5"/>
  <c r="Q132" i="5"/>
  <c r="Q598" i="5"/>
  <c r="Q585" i="5"/>
  <c r="Q599" i="5"/>
  <c r="Q615" i="5"/>
  <c r="Q586" i="5"/>
  <c r="Q587" i="5"/>
  <c r="Q588" i="5"/>
  <c r="Q589" i="5"/>
  <c r="Q590" i="5"/>
  <c r="Q616" i="5"/>
  <c r="Q617" i="5"/>
  <c r="Q591" i="5"/>
  <c r="Q600" i="5"/>
  <c r="Q612" i="5"/>
  <c r="Q592" i="5"/>
  <c r="Q606" i="5"/>
  <c r="Q594" i="5"/>
  <c r="Q620" i="5"/>
  <c r="Q601" i="5"/>
  <c r="Q602" i="5"/>
  <c r="Q603" i="5"/>
  <c r="Q577" i="5"/>
  <c r="Q143" i="5"/>
  <c r="Q572" i="5"/>
  <c r="Q631" i="5"/>
  <c r="Q627" i="5"/>
  <c r="Q593" i="5"/>
  <c r="Q604" i="5"/>
  <c r="Q621" i="5"/>
  <c r="Q622" i="5"/>
  <c r="Q632" i="5"/>
  <c r="Q633" i="5"/>
  <c r="Q625" i="5"/>
  <c r="Q138" i="5"/>
  <c r="Q139" i="5"/>
  <c r="Q597" i="5"/>
  <c r="Q140" i="5"/>
  <c r="Q141" i="5"/>
  <c r="Q1293" i="5"/>
  <c r="Q362" i="5"/>
  <c r="Q649" i="5"/>
  <c r="Q656" i="5"/>
  <c r="Q1294" i="5"/>
  <c r="Q1295" i="5"/>
  <c r="Q1296" i="5"/>
  <c r="Q1297" i="5"/>
  <c r="Q1298" i="5"/>
  <c r="Q214" i="5"/>
  <c r="Q636" i="5"/>
  <c r="Q637" i="5"/>
  <c r="Q638" i="5"/>
  <c r="Q648" i="5"/>
  <c r="Q639" i="5"/>
  <c r="Q640" i="5"/>
  <c r="Q366" i="5"/>
  <c r="Q642" i="5"/>
  <c r="Q643" i="5"/>
  <c r="Q644" i="5"/>
  <c r="Q645" i="5"/>
  <c r="Q646" i="5"/>
  <c r="Q647" i="5"/>
  <c r="Q657" i="5"/>
  <c r="Q658" i="5"/>
  <c r="Q659" i="5"/>
  <c r="Q660" i="5"/>
  <c r="Q1289" i="5"/>
  <c r="Q661" i="5"/>
  <c r="Q1290" i="5"/>
  <c r="Q1291" i="5"/>
  <c r="Q1292" i="5"/>
  <c r="Q666" i="5"/>
  <c r="Q667" i="5"/>
  <c r="Q669" i="5"/>
  <c r="Q670" i="5"/>
  <c r="Q676" i="5"/>
  <c r="Q677" i="5"/>
  <c r="Q678" i="5"/>
  <c r="Q679" i="5"/>
  <c r="Q680" i="5"/>
  <c r="Q681" i="5"/>
  <c r="Q682" i="5"/>
  <c r="Q683" i="5"/>
  <c r="Q684" i="5"/>
  <c r="Q685" i="5"/>
  <c r="Q686" i="5"/>
  <c r="Q687" i="5"/>
  <c r="Q688" i="5"/>
  <c r="Q689" i="5"/>
  <c r="Q690" i="5"/>
  <c r="Q691" i="5"/>
  <c r="Q692" i="5"/>
  <c r="Q693" i="5"/>
  <c r="Q694" i="5"/>
  <c r="Q698" i="5"/>
  <c r="Q696" i="5"/>
  <c r="Q695" i="5"/>
  <c r="Q697" i="5"/>
  <c r="Q699" i="5"/>
  <c r="Q700" i="5"/>
  <c r="Q704" i="5"/>
  <c r="Q705" i="5"/>
  <c r="Q706" i="5"/>
  <c r="Q707" i="5"/>
  <c r="Q708" i="5"/>
  <c r="Q709" i="5"/>
  <c r="Q710" i="5"/>
  <c r="Q711" i="5"/>
  <c r="Q712" i="5"/>
  <c r="Q713" i="5"/>
  <c r="Q714" i="5"/>
  <c r="Q715" i="5"/>
  <c r="Q716" i="5"/>
  <c r="Q717" i="5"/>
  <c r="Q718" i="5"/>
  <c r="Q719" i="5"/>
  <c r="Q720" i="5"/>
  <c r="Q721" i="5"/>
  <c r="Q722" i="5"/>
  <c r="Q723" i="5"/>
  <c r="Q724" i="5"/>
  <c r="Q725" i="5"/>
  <c r="Q726" i="5"/>
  <c r="Q727" i="5"/>
  <c r="Q728" i="5"/>
  <c r="Q729" i="5"/>
  <c r="Q730" i="5"/>
  <c r="Q731" i="5"/>
  <c r="Q732" i="5"/>
  <c r="Q733" i="5"/>
  <c r="Q734" i="5"/>
  <c r="Q735" i="5"/>
  <c r="Q736" i="5"/>
  <c r="Q737" i="5"/>
  <c r="Q738" i="5"/>
  <c r="Q739" i="5"/>
  <c r="Q740" i="5"/>
  <c r="Q741" i="5"/>
  <c r="Q742" i="5"/>
  <c r="Q743" i="5"/>
  <c r="Q744" i="5"/>
  <c r="Q745" i="5"/>
  <c r="Q746" i="5"/>
  <c r="Q747" i="5"/>
  <c r="Q748" i="5"/>
  <c r="Q749" i="5"/>
  <c r="Q750" i="5"/>
  <c r="Q751" i="5"/>
  <c r="Q752" i="5"/>
  <c r="Q753" i="5"/>
  <c r="Q754" i="5"/>
  <c r="Q755" i="5"/>
  <c r="Q756" i="5"/>
  <c r="Q757" i="5"/>
  <c r="Q758" i="5"/>
  <c r="Q759" i="5"/>
  <c r="Q760" i="5"/>
  <c r="Q761" i="5"/>
  <c r="Q762" i="5"/>
  <c r="Q763" i="5"/>
  <c r="Q764" i="5"/>
  <c r="Q765" i="5"/>
  <c r="Q766" i="5"/>
  <c r="Q767" i="5"/>
  <c r="Q768" i="5"/>
  <c r="Q769" i="5"/>
  <c r="Q770" i="5"/>
  <c r="Q771" i="5"/>
  <c r="Q772" i="5"/>
  <c r="Q773" i="5"/>
  <c r="Q774" i="5"/>
  <c r="Q775" i="5"/>
  <c r="Q776" i="5"/>
  <c r="Q777" i="5"/>
  <c r="Q778" i="5"/>
  <c r="Q779" i="5"/>
  <c r="Q780" i="5"/>
  <c r="Q781" i="5"/>
  <c r="Q782" i="5"/>
  <c r="Q783" i="5"/>
  <c r="Q784" i="5"/>
  <c r="Q785" i="5"/>
  <c r="Q786" i="5"/>
  <c r="Q787" i="5"/>
  <c r="Q788" i="5"/>
  <c r="Q789" i="5"/>
  <c r="Q790" i="5"/>
  <c r="Q791" i="5"/>
  <c r="Q792" i="5"/>
  <c r="Q793" i="5"/>
  <c r="Q794" i="5"/>
  <c r="Q795" i="5"/>
  <c r="Q796" i="5"/>
  <c r="Q797" i="5"/>
  <c r="Q798" i="5"/>
  <c r="Q799" i="5"/>
  <c r="Q800" i="5"/>
  <c r="Q222" i="5"/>
  <c r="Q802" i="5"/>
  <c r="Q803" i="5"/>
  <c r="Q804" i="5"/>
  <c r="Q805" i="5"/>
  <c r="Q806" i="5"/>
  <c r="Q807" i="5"/>
  <c r="Q808" i="5"/>
  <c r="Q809" i="5"/>
  <c r="Q810" i="5"/>
  <c r="Q811" i="5"/>
  <c r="Q812" i="5"/>
  <c r="Q813" i="5"/>
  <c r="Q814" i="5"/>
  <c r="Q815" i="5"/>
  <c r="Q816" i="5"/>
  <c r="Q817" i="5"/>
  <c r="Q818" i="5"/>
  <c r="Q819" i="5"/>
  <c r="Q820" i="5"/>
  <c r="Q821" i="5"/>
  <c r="Q822" i="5"/>
  <c r="Q823" i="5"/>
  <c r="Q824" i="5"/>
  <c r="Q825" i="5"/>
  <c r="Q826" i="5"/>
  <c r="Q827" i="5"/>
  <c r="Q828" i="5"/>
  <c r="Q829" i="5"/>
  <c r="Q830" i="5"/>
  <c r="Q831" i="5"/>
  <c r="Q832" i="5"/>
  <c r="Q833" i="5"/>
  <c r="Q834" i="5"/>
  <c r="Q835" i="5"/>
  <c r="Q836" i="5"/>
  <c r="Q837" i="5"/>
  <c r="Q838" i="5"/>
  <c r="Q839" i="5"/>
  <c r="Q840" i="5"/>
  <c r="Q841" i="5"/>
  <c r="Q842" i="5"/>
  <c r="Q843" i="5"/>
  <c r="Q845" i="5"/>
  <c r="Q846" i="5"/>
  <c r="Q847" i="5"/>
  <c r="Q848" i="5"/>
  <c r="Q849" i="5"/>
  <c r="Q850" i="5"/>
  <c r="Q851" i="5"/>
  <c r="Q852" i="5"/>
  <c r="Q853" i="5"/>
  <c r="Q854" i="5"/>
  <c r="Q349" i="5"/>
  <c r="Q350" i="5"/>
  <c r="Q346" i="5"/>
  <c r="Q347" i="5"/>
  <c r="Q334" i="5"/>
  <c r="Q348" i="5"/>
  <c r="Q351" i="5"/>
  <c r="Q352" i="5"/>
  <c r="Q380" i="5"/>
  <c r="Q397" i="5"/>
  <c r="Q396" i="5"/>
  <c r="Q394" i="5"/>
  <c r="Q395" i="5"/>
  <c r="Q449" i="5"/>
  <c r="Q453" i="5"/>
  <c r="Q451" i="5"/>
  <c r="Q450" i="5"/>
  <c r="Q446" i="5"/>
  <c r="Q445" i="5"/>
  <c r="Q436" i="5"/>
  <c r="Q435" i="5"/>
  <c r="Q530" i="5"/>
  <c r="Q533" i="5"/>
  <c r="Q527" i="5"/>
  <c r="Q528" i="5"/>
  <c r="Q517" i="5"/>
  <c r="Q531" i="5"/>
  <c r="Q605" i="5"/>
  <c r="Q626" i="5"/>
  <c r="Q613" i="5"/>
  <c r="Q573" i="5"/>
  <c r="Q574" i="5"/>
  <c r="Q623" i="5"/>
  <c r="Q624" i="5"/>
  <c r="Q671" i="5"/>
  <c r="Q672" i="5"/>
  <c r="Q673" i="5"/>
  <c r="Q674" i="5"/>
  <c r="Q675" i="5"/>
  <c r="Q668" i="5"/>
  <c r="Q702" i="5"/>
  <c r="Q701" i="5"/>
  <c r="Q703" i="5"/>
  <c r="K43" i="14" l="1"/>
  <c r="I43" i="14"/>
  <c r="K44" i="14"/>
  <c r="K52" i="14"/>
  <c r="F53" i="14"/>
  <c r="I53" i="14" s="1"/>
  <c r="J47" i="14"/>
  <c r="K47" i="14"/>
  <c r="J45" i="14"/>
  <c r="K45" i="14"/>
  <c r="J52" i="14"/>
  <c r="J44" i="14"/>
  <c r="F49" i="14"/>
  <c r="I49" i="14" s="1"/>
  <c r="K55" i="14"/>
  <c r="K50" i="14"/>
  <c r="K48" i="14"/>
  <c r="J56" i="14"/>
  <c r="J43" i="14"/>
  <c r="J48" i="14"/>
  <c r="K56" i="14"/>
  <c r="F51" i="14"/>
  <c r="I51" i="14" s="1"/>
  <c r="J50" i="14"/>
  <c r="K46" i="14"/>
  <c r="J46" i="14"/>
  <c r="F57" i="14"/>
  <c r="I57" i="14" s="1"/>
  <c r="J55" i="14"/>
  <c r="F126" i="14"/>
  <c r="I126" i="14" s="1"/>
  <c r="J124" i="14"/>
  <c r="K124" i="14"/>
  <c r="J125" i="14"/>
  <c r="K125" i="14"/>
  <c r="K70" i="14"/>
  <c r="J70" i="14"/>
  <c r="K72" i="14"/>
  <c r="J72" i="14"/>
  <c r="J60" i="14"/>
  <c r="K60" i="14"/>
  <c r="K98" i="14"/>
  <c r="J98" i="14"/>
  <c r="K119" i="14"/>
  <c r="J119" i="14"/>
  <c r="J53" i="14" l="1"/>
  <c r="K53" i="14"/>
  <c r="K51" i="14"/>
  <c r="J51" i="14"/>
  <c r="J49" i="14"/>
  <c r="K49" i="14"/>
  <c r="J57" i="14"/>
  <c r="K57" i="14"/>
  <c r="F129" i="14"/>
  <c r="I129" i="14" s="1"/>
  <c r="J126" i="14"/>
  <c r="K126" i="14"/>
  <c r="F128" i="14"/>
  <c r="I128" i="14" s="1"/>
  <c r="F127" i="14"/>
  <c r="I127" i="14" s="1"/>
  <c r="J24" i="1"/>
  <c r="J21" i="1"/>
  <c r="F130" i="14" l="1"/>
  <c r="I130" i="14" s="1"/>
  <c r="K129" i="14"/>
  <c r="J129" i="14"/>
  <c r="K128" i="14"/>
  <c r="J128" i="14"/>
  <c r="K127" i="14"/>
  <c r="J127" i="14"/>
  <c r="J23" i="1"/>
  <c r="J20" i="1"/>
  <c r="J19" i="1"/>
  <c r="J130" i="14" l="1"/>
  <c r="K130" i="14"/>
  <c r="F131" i="14"/>
  <c r="I131" i="14" s="1"/>
  <c r="E138" i="1"/>
  <c r="K132" i="1"/>
  <c r="K131" i="1"/>
  <c r="K130" i="1"/>
  <c r="K129" i="1"/>
  <c r="J128" i="1"/>
  <c r="K127" i="1"/>
  <c r="K126" i="1"/>
  <c r="K125" i="1"/>
  <c r="J124" i="1"/>
  <c r="K123" i="1"/>
  <c r="J122" i="1"/>
  <c r="J121" i="1"/>
  <c r="E120" i="1"/>
  <c r="K119" i="1"/>
  <c r="K118" i="1"/>
  <c r="K117" i="1"/>
  <c r="K116" i="1"/>
  <c r="K115" i="1"/>
  <c r="J114" i="1"/>
  <c r="K114" i="1"/>
  <c r="J112" i="1"/>
  <c r="J111" i="1"/>
  <c r="K110" i="1"/>
  <c r="K109" i="1"/>
  <c r="K108" i="1"/>
  <c r="K107" i="1"/>
  <c r="K106" i="1"/>
  <c r="J105" i="1"/>
  <c r="J104" i="1"/>
  <c r="J103" i="1"/>
  <c r="K102" i="1"/>
  <c r="K101" i="1"/>
  <c r="K100" i="1"/>
  <c r="J100" i="1"/>
  <c r="E99" i="1"/>
  <c r="D99" i="1"/>
  <c r="K98" i="1"/>
  <c r="K97" i="1"/>
  <c r="J96" i="1"/>
  <c r="J95" i="1"/>
  <c r="K94" i="1"/>
  <c r="K93" i="1"/>
  <c r="K92" i="1"/>
  <c r="J92" i="1"/>
  <c r="K91" i="1"/>
  <c r="K90" i="1"/>
  <c r="J89" i="1"/>
  <c r="J87" i="1"/>
  <c r="K86" i="1"/>
  <c r="K85" i="1"/>
  <c r="K84" i="1"/>
  <c r="K83" i="1"/>
  <c r="J83" i="1"/>
  <c r="K82" i="1"/>
  <c r="J81" i="1"/>
  <c r="J80" i="1"/>
  <c r="K78" i="1"/>
  <c r="J77" i="1"/>
  <c r="J76" i="1"/>
  <c r="K75" i="1"/>
  <c r="J74" i="1"/>
  <c r="J73" i="1"/>
  <c r="K73" i="1"/>
  <c r="E72" i="1"/>
  <c r="D72" i="1"/>
  <c r="K71" i="1"/>
  <c r="E70" i="1"/>
  <c r="J69" i="1"/>
  <c r="K68" i="1"/>
  <c r="K67" i="1"/>
  <c r="J66" i="1"/>
  <c r="K65" i="1"/>
  <c r="K64" i="1"/>
  <c r="J64" i="1"/>
  <c r="K63" i="1"/>
  <c r="D70" i="1"/>
  <c r="K62" i="1"/>
  <c r="J61" i="1"/>
  <c r="E60" i="1"/>
  <c r="D60" i="1"/>
  <c r="J59" i="1"/>
  <c r="J58" i="1"/>
  <c r="E57" i="1"/>
  <c r="D57" i="1"/>
  <c r="K56" i="1"/>
  <c r="J56" i="1"/>
  <c r="K55" i="1"/>
  <c r="K54" i="1"/>
  <c r="E53" i="1"/>
  <c r="D53" i="1"/>
  <c r="K52" i="1"/>
  <c r="E51" i="1"/>
  <c r="D51" i="1"/>
  <c r="K50" i="1"/>
  <c r="E49" i="1"/>
  <c r="K48" i="1"/>
  <c r="J47" i="1"/>
  <c r="J46" i="1"/>
  <c r="K45" i="1"/>
  <c r="K44" i="1"/>
  <c r="J43" i="1"/>
  <c r="J42" i="1"/>
  <c r="E40" i="1"/>
  <c r="E142" i="1" s="1"/>
  <c r="D40" i="1"/>
  <c r="D142" i="1" s="1"/>
  <c r="J39" i="1"/>
  <c r="K38" i="1"/>
  <c r="Q37" i="1"/>
  <c r="P37" i="1"/>
  <c r="O37" i="1"/>
  <c r="N37" i="1"/>
  <c r="Q36" i="1"/>
  <c r="P36" i="1"/>
  <c r="O36" i="1"/>
  <c r="N36" i="1"/>
  <c r="E36" i="1"/>
  <c r="D36" i="1"/>
  <c r="Q35" i="1"/>
  <c r="P35" i="1"/>
  <c r="O35" i="1"/>
  <c r="N35" i="1"/>
  <c r="J35" i="1"/>
  <c r="Q34" i="1"/>
  <c r="P34" i="1"/>
  <c r="O34" i="1"/>
  <c r="N34" i="1"/>
  <c r="K34" i="1"/>
  <c r="Q32" i="1"/>
  <c r="P32" i="1"/>
  <c r="O32" i="1"/>
  <c r="N32" i="1"/>
  <c r="K32" i="1"/>
  <c r="J32" i="1"/>
  <c r="Q31" i="1"/>
  <c r="O31" i="1"/>
  <c r="N31" i="1"/>
  <c r="K31" i="1"/>
  <c r="K30" i="1"/>
  <c r="J30" i="1"/>
  <c r="K29" i="1"/>
  <c r="J29" i="1"/>
  <c r="E26" i="1"/>
  <c r="D26" i="1"/>
  <c r="K24" i="1"/>
  <c r="T36" i="1" s="1"/>
  <c r="R36" i="1"/>
  <c r="S35" i="1"/>
  <c r="E22" i="1"/>
  <c r="D22" i="1"/>
  <c r="R34" i="1"/>
  <c r="K20" i="1"/>
  <c r="T32" i="1" s="1"/>
  <c r="E17" i="1"/>
  <c r="D17" i="1"/>
  <c r="J16" i="1"/>
  <c r="J15" i="1"/>
  <c r="K14" i="1"/>
  <c r="K13" i="1"/>
  <c r="J13" i="1"/>
  <c r="E12" i="1"/>
  <c r="K11" i="1"/>
  <c r="K10" i="1"/>
  <c r="J8" i="1"/>
  <c r="E7" i="1"/>
  <c r="J6" i="1"/>
  <c r="K5" i="1"/>
  <c r="D141" i="14" l="1"/>
  <c r="F140" i="1"/>
  <c r="J134" i="1"/>
  <c r="F133" i="14"/>
  <c r="I133" i="14" s="1"/>
  <c r="F132" i="14"/>
  <c r="I132" i="14" s="1"/>
  <c r="K131" i="14"/>
  <c r="J131" i="14"/>
  <c r="K133" i="1"/>
  <c r="E27" i="1"/>
  <c r="E18" i="1"/>
  <c r="D139" i="1"/>
  <c r="E139" i="1"/>
  <c r="D18" i="1"/>
  <c r="K77" i="1"/>
  <c r="J107" i="1"/>
  <c r="J123" i="1"/>
  <c r="K43" i="1"/>
  <c r="J97" i="1"/>
  <c r="J119" i="1"/>
  <c r="K6" i="1"/>
  <c r="K46" i="1"/>
  <c r="J109" i="1"/>
  <c r="K47" i="1"/>
  <c r="J75" i="1"/>
  <c r="K105" i="1"/>
  <c r="J116" i="1"/>
  <c r="D27" i="1"/>
  <c r="K124" i="1"/>
  <c r="J133" i="1"/>
  <c r="J10" i="1"/>
  <c r="S31" i="1"/>
  <c r="K59" i="1"/>
  <c r="J68" i="1"/>
  <c r="J118" i="1"/>
  <c r="J135" i="1"/>
  <c r="J11" i="1"/>
  <c r="J14" i="1"/>
  <c r="K80" i="1"/>
  <c r="J84" i="1"/>
  <c r="K89" i="1"/>
  <c r="J93" i="1"/>
  <c r="J98" i="1"/>
  <c r="J101" i="1"/>
  <c r="J115" i="1"/>
  <c r="J126" i="1"/>
  <c r="J131" i="1"/>
  <c r="J127" i="1"/>
  <c r="K35" i="1"/>
  <c r="K8" i="1"/>
  <c r="K66" i="1"/>
  <c r="J91" i="1"/>
  <c r="J108" i="1"/>
  <c r="K112" i="1"/>
  <c r="J132" i="1"/>
  <c r="K60" i="1"/>
  <c r="K81" i="1"/>
  <c r="F12" i="1"/>
  <c r="F36" i="1"/>
  <c r="I36" i="1" s="1"/>
  <c r="J45" i="1"/>
  <c r="K58" i="1"/>
  <c r="J72" i="1"/>
  <c r="K104" i="1"/>
  <c r="O76" i="1"/>
  <c r="K128" i="1"/>
  <c r="F57" i="1"/>
  <c r="I57" i="1" s="1"/>
  <c r="S34" i="1"/>
  <c r="J55" i="1"/>
  <c r="J62" i="1"/>
  <c r="J78" i="1"/>
  <c r="J9" i="1"/>
  <c r="F17" i="1"/>
  <c r="I17" i="1" s="1"/>
  <c r="K21" i="1"/>
  <c r="T34" i="1" s="1"/>
  <c r="K23" i="1"/>
  <c r="T35" i="1" s="1"/>
  <c r="J34" i="1"/>
  <c r="R35" i="1"/>
  <c r="K39" i="1"/>
  <c r="J44" i="1"/>
  <c r="F49" i="1"/>
  <c r="I49" i="1" s="1"/>
  <c r="F51" i="1"/>
  <c r="I51" i="1" s="1"/>
  <c r="F53" i="1"/>
  <c r="I53" i="1" s="1"/>
  <c r="J67" i="1"/>
  <c r="K69" i="1"/>
  <c r="K74" i="1"/>
  <c r="K76" i="1"/>
  <c r="J82" i="1"/>
  <c r="K87" i="1"/>
  <c r="J90" i="1"/>
  <c r="K103" i="1"/>
  <c r="J106" i="1"/>
  <c r="K111" i="1"/>
  <c r="J113" i="1"/>
  <c r="J129" i="1"/>
  <c r="K9" i="1"/>
  <c r="J65" i="1"/>
  <c r="J71" i="1"/>
  <c r="J85" i="1"/>
  <c r="K113" i="1"/>
  <c r="F7" i="1"/>
  <c r="I7" i="1" s="1"/>
  <c r="K19" i="1"/>
  <c r="T31" i="1" s="1"/>
  <c r="S36" i="1"/>
  <c r="J130" i="1"/>
  <c r="F40" i="1"/>
  <c r="J63" i="1"/>
  <c r="J48" i="1"/>
  <c r="J50" i="1"/>
  <c r="J52" i="1"/>
  <c r="J54" i="1"/>
  <c r="J86" i="1"/>
  <c r="J94" i="1"/>
  <c r="J102" i="1"/>
  <c r="J110" i="1"/>
  <c r="J117" i="1"/>
  <c r="J125" i="1"/>
  <c r="S32" i="1"/>
  <c r="J31" i="1"/>
  <c r="R32" i="1"/>
  <c r="J38" i="1"/>
  <c r="D148" i="1" l="1"/>
  <c r="F142" i="1"/>
  <c r="I40" i="1"/>
  <c r="E148" i="1"/>
  <c r="J133" i="14"/>
  <c r="F139" i="1"/>
  <c r="K12" i="1"/>
  <c r="I12" i="1"/>
  <c r="F135" i="14"/>
  <c r="I135" i="14" s="1"/>
  <c r="K136" i="1"/>
  <c r="J136" i="1"/>
  <c r="K132" i="14"/>
  <c r="J132" i="14"/>
  <c r="J138" i="1"/>
  <c r="F134" i="14"/>
  <c r="I134" i="14" s="1"/>
  <c r="K135" i="1"/>
  <c r="J36" i="1"/>
  <c r="E28" i="1"/>
  <c r="E37" i="1" s="1"/>
  <c r="E41" i="1" s="1"/>
  <c r="E143" i="1" s="1"/>
  <c r="O72" i="1"/>
  <c r="O74" i="1"/>
  <c r="D28" i="1"/>
  <c r="D37" i="1" s="1"/>
  <c r="D41" i="1" s="1"/>
  <c r="D143" i="1" s="1"/>
  <c r="K120" i="1"/>
  <c r="J120" i="1"/>
  <c r="J60" i="1"/>
  <c r="J12" i="1"/>
  <c r="K36" i="1"/>
  <c r="K72" i="1"/>
  <c r="O73" i="1"/>
  <c r="J70" i="1"/>
  <c r="K70" i="1"/>
  <c r="K22" i="1"/>
  <c r="J22" i="1"/>
  <c r="O75" i="1"/>
  <c r="K99" i="1"/>
  <c r="J99" i="1"/>
  <c r="O71" i="1"/>
  <c r="K57" i="1"/>
  <c r="J57" i="1"/>
  <c r="K53" i="1"/>
  <c r="J53" i="1"/>
  <c r="O70" i="1"/>
  <c r="K51" i="1"/>
  <c r="O69" i="1"/>
  <c r="J51" i="1"/>
  <c r="K17" i="1"/>
  <c r="J17" i="1"/>
  <c r="K40" i="1"/>
  <c r="J40" i="1"/>
  <c r="F18" i="1"/>
  <c r="K7" i="1"/>
  <c r="J7" i="1"/>
  <c r="O68" i="1"/>
  <c r="K49" i="1"/>
  <c r="J49" i="1"/>
  <c r="D146" i="1" l="1"/>
  <c r="F141" i="1"/>
  <c r="I18" i="1"/>
  <c r="B715" i="5"/>
  <c r="I139" i="1"/>
  <c r="D142" i="14"/>
  <c r="U805" i="5"/>
  <c r="F136" i="14"/>
  <c r="I136" i="14" s="1"/>
  <c r="J137" i="1"/>
  <c r="K137" i="1"/>
  <c r="J135" i="14"/>
  <c r="K135" i="14"/>
  <c r="K134" i="14"/>
  <c r="J134" i="14"/>
  <c r="K138" i="1"/>
  <c r="O77" i="1"/>
  <c r="K139" i="1"/>
  <c r="J25" i="1"/>
  <c r="S37" i="1" s="1"/>
  <c r="F26" i="1"/>
  <c r="I26" i="1" s="1"/>
  <c r="K25" i="1"/>
  <c r="T37" i="1" s="1"/>
  <c r="R37" i="1"/>
  <c r="K18" i="1"/>
  <c r="J18" i="1"/>
  <c r="I141" i="1" l="1"/>
  <c r="F140" i="14"/>
  <c r="U715" i="5"/>
  <c r="L7" i="1"/>
  <c r="L13" i="1"/>
  <c r="J139" i="1"/>
  <c r="K136" i="14"/>
  <c r="J136" i="14"/>
  <c r="F137" i="14"/>
  <c r="I137" i="14" s="1"/>
  <c r="J26" i="1"/>
  <c r="K26" i="1"/>
  <c r="F27" i="1"/>
  <c r="I27" i="1" l="1"/>
  <c r="F148" i="1"/>
  <c r="J27" i="1"/>
  <c r="K137" i="14"/>
  <c r="J137" i="14"/>
  <c r="F138" i="14"/>
  <c r="I138" i="14" s="1"/>
  <c r="F28" i="1"/>
  <c r="I28" i="1" s="1"/>
  <c r="K27" i="1"/>
  <c r="I148" i="1" l="1"/>
  <c r="L23" i="1"/>
  <c r="L24" i="1"/>
  <c r="L22" i="1"/>
  <c r="I140" i="1"/>
  <c r="I142" i="1" s="1"/>
  <c r="G139" i="14"/>
  <c r="I140" i="14"/>
  <c r="G140" i="14"/>
  <c r="J138" i="14"/>
  <c r="K138" i="14"/>
  <c r="K28" i="1"/>
  <c r="F37" i="1"/>
  <c r="J28" i="1"/>
  <c r="I141" i="14" l="1"/>
  <c r="I139" i="14"/>
  <c r="F41" i="1"/>
  <c r="F143" i="1" s="1"/>
  <c r="F146" i="1" s="1"/>
  <c r="I37" i="1"/>
  <c r="I41" i="1" s="1"/>
  <c r="J37" i="1"/>
  <c r="K37" i="1"/>
  <c r="F142" i="14" l="1"/>
  <c r="I143" i="1"/>
  <c r="K41" i="1"/>
  <c r="J41" i="1"/>
  <c r="I142" i="14" l="1"/>
  <c r="I146" i="1"/>
  <c r="F139" i="14"/>
  <c r="F141" i="14" l="1"/>
</calcChain>
</file>

<file path=xl/comments1.xml><?xml version="1.0" encoding="utf-8"?>
<comments xmlns="http://schemas.openxmlformats.org/spreadsheetml/2006/main">
  <authors>
    <author>Tiina</author>
  </authors>
  <commentList>
    <comment ref="J46" authorId="0" shapeId="0">
      <text>
        <r>
          <rPr>
            <b/>
            <sz val="9"/>
            <color indexed="81"/>
            <rFont val="Segoe UI"/>
            <family val="2"/>
          </rPr>
          <t>Tiina:</t>
        </r>
        <r>
          <rPr>
            <sz val="9"/>
            <color indexed="81"/>
            <rFont val="Segoe UI"/>
            <family val="2"/>
          </rPr>
          <t xml:space="preserve">
2021.a KOV valimistega seotud kulud</t>
        </r>
      </text>
    </comment>
    <comment ref="J52" authorId="0" shapeId="0">
      <text>
        <r>
          <rPr>
            <b/>
            <sz val="9"/>
            <color indexed="81"/>
            <rFont val="Segoe UI"/>
            <family val="2"/>
            <charset val="186"/>
          </rPr>
          <t>Tiina:</t>
        </r>
        <r>
          <rPr>
            <sz val="9"/>
            <color indexed="81"/>
            <rFont val="Segoe UI"/>
            <family val="2"/>
            <charset val="186"/>
          </rPr>
          <t xml:space="preserve">
2021.a eelarve sisaldab saadud nn. "katuserahasid"</t>
        </r>
      </text>
    </comment>
    <comment ref="J54" authorId="0" shapeId="0">
      <text>
        <r>
          <rPr>
            <b/>
            <sz val="9"/>
            <color indexed="81"/>
            <rFont val="Segoe UI"/>
            <family val="2"/>
            <charset val="186"/>
          </rPr>
          <t>Tiina:</t>
        </r>
        <r>
          <rPr>
            <sz val="9"/>
            <color indexed="81"/>
            <rFont val="Segoe UI"/>
            <family val="2"/>
            <charset val="186"/>
          </rPr>
          <t xml:space="preserve">
2021.a sisaldab 2019.a jääki ning Rajaküla tee ehituseks saadud toetust 100 000</t>
        </r>
      </text>
    </comment>
    <comment ref="J56" authorId="0" shapeId="0">
      <text>
        <r>
          <rPr>
            <b/>
            <sz val="9"/>
            <color indexed="81"/>
            <rFont val="Segoe UI"/>
            <family val="2"/>
            <charset val="186"/>
          </rPr>
          <t>Tiina:</t>
        </r>
        <r>
          <rPr>
            <sz val="9"/>
            <color indexed="81"/>
            <rFont val="Segoe UI"/>
            <family val="2"/>
            <charset val="186"/>
          </rPr>
          <t xml:space="preserve">
2021.a hajaasustuse osalust erandkorras suurendati</t>
        </r>
      </text>
    </comment>
    <comment ref="J58" authorId="0" shapeId="0">
      <text>
        <r>
          <rPr>
            <b/>
            <sz val="9"/>
            <color indexed="81"/>
            <rFont val="Tahoma"/>
            <family val="2"/>
          </rPr>
          <t>Tiina:</t>
        </r>
        <r>
          <rPr>
            <sz val="9"/>
            <color indexed="81"/>
            <rFont val="Tahoma"/>
            <family val="2"/>
          </rPr>
          <t xml:space="preserve">
2021.a sisaldab investeeringu vahendeid summas 50 tuhat.</t>
        </r>
      </text>
    </comment>
    <comment ref="J62" authorId="0" shapeId="0">
      <text>
        <r>
          <rPr>
            <b/>
            <sz val="9"/>
            <color indexed="81"/>
            <rFont val="Tahoma"/>
            <family val="2"/>
          </rPr>
          <t>Tiina:</t>
        </r>
        <r>
          <rPr>
            <sz val="9"/>
            <color indexed="81"/>
            <rFont val="Tahoma"/>
            <family val="2"/>
          </rPr>
          <t xml:space="preserve">
2021.a sisaldab investeeringuid</t>
        </r>
      </text>
    </comment>
    <comment ref="J64" authorId="0" shapeId="0">
      <text>
        <r>
          <rPr>
            <b/>
            <sz val="9"/>
            <color indexed="81"/>
            <rFont val="Tahoma"/>
            <family val="2"/>
          </rPr>
          <t>Tiina:</t>
        </r>
        <r>
          <rPr>
            <sz val="9"/>
            <color indexed="81"/>
            <rFont val="Tahoma"/>
            <family val="2"/>
          </rPr>
          <t xml:space="preserve">
2021.a eelarve kajastusid investeeringud summas 23 000€</t>
        </r>
      </text>
    </comment>
    <comment ref="J65" authorId="0" shapeId="0">
      <text>
        <r>
          <rPr>
            <b/>
            <sz val="9"/>
            <color indexed="81"/>
            <rFont val="Tahoma"/>
            <family val="2"/>
          </rPr>
          <t>Tiina:</t>
        </r>
        <r>
          <rPr>
            <sz val="9"/>
            <color indexed="81"/>
            <rFont val="Tahoma"/>
            <family val="2"/>
          </rPr>
          <t xml:space="preserve">
2021.a eelarve sisaldab investeeringuid summas 95 000€</t>
        </r>
      </text>
    </comment>
    <comment ref="J66" authorId="0" shapeId="0">
      <text>
        <r>
          <rPr>
            <b/>
            <sz val="9"/>
            <color indexed="81"/>
            <rFont val="Tahoma"/>
            <family val="2"/>
          </rPr>
          <t>Tiina:</t>
        </r>
        <r>
          <rPr>
            <sz val="9"/>
            <color indexed="81"/>
            <rFont val="Tahoma"/>
            <family val="2"/>
          </rPr>
          <t xml:space="preserve">
Seni kajastatud Kadila Seltsimaja kui eraldi eelarve, kuid kuna tegu ei ole Seltsimajaga vaid endise koolimaja hoonega, kus asub noortemaja ja osaliselt ka muuseumi ruum. Antud juhul ei olnud tegu rahvakultuuri tegevusega, seetõttu ka kajastamise muudatus edaspidi piirkonna alla.</t>
        </r>
      </text>
    </comment>
    <comment ref="J68" authorId="0" shapeId="0">
      <text>
        <r>
          <rPr>
            <b/>
            <sz val="9"/>
            <color indexed="81"/>
            <rFont val="Tahoma"/>
            <family val="2"/>
          </rPr>
          <t>Tiina:</t>
        </r>
        <r>
          <rPr>
            <sz val="9"/>
            <color indexed="81"/>
            <rFont val="Tahoma"/>
            <family val="2"/>
          </rPr>
          <t xml:space="preserve">
2021.a lõppes leping sauna kütjaga, tulenevalt sauna ümberkolimisest Tudu kooli hoonesse</t>
        </r>
      </text>
    </comment>
    <comment ref="J71" authorId="0" shapeId="0">
      <text>
        <r>
          <rPr>
            <b/>
            <sz val="9"/>
            <color indexed="81"/>
            <rFont val="Segoe UI"/>
            <family val="2"/>
            <charset val="186"/>
          </rPr>
          <t>Tiina:</t>
        </r>
        <r>
          <rPr>
            <sz val="9"/>
            <color indexed="81"/>
            <rFont val="Segoe UI"/>
            <family val="2"/>
            <charset val="186"/>
          </rPr>
          <t xml:space="preserve">
Rakvere Haiglale makstava investeerimistoetuse mahu vähenemine</t>
        </r>
      </text>
    </comment>
    <comment ref="D79" authorId="0" shapeId="0">
      <text>
        <r>
          <rPr>
            <b/>
            <sz val="9"/>
            <color indexed="81"/>
            <rFont val="Segoe UI"/>
            <family val="2"/>
            <charset val="186"/>
          </rPr>
          <t>Tiina:</t>
        </r>
        <r>
          <rPr>
            <sz val="9"/>
            <color indexed="81"/>
            <rFont val="Segoe UI"/>
            <family val="2"/>
            <charset val="186"/>
          </rPr>
          <t xml:space="preserve">
sh. investeeringu vahendid 200 tuhat</t>
        </r>
      </text>
    </comment>
    <comment ref="F79" authorId="0" shapeId="0">
      <text>
        <r>
          <rPr>
            <b/>
            <sz val="9"/>
            <color indexed="81"/>
            <rFont val="Segoe UI"/>
            <family val="2"/>
            <charset val="186"/>
          </rPr>
          <t>Tiina:</t>
        </r>
        <r>
          <rPr>
            <sz val="9"/>
            <color indexed="81"/>
            <rFont val="Segoe UI"/>
            <family val="2"/>
            <charset val="186"/>
          </rPr>
          <t xml:space="preserve">
sh. investeeringu vahendid 235 tuhat.</t>
        </r>
      </text>
    </comment>
    <comment ref="J81" authorId="0" shapeId="0">
      <text>
        <r>
          <rPr>
            <b/>
            <sz val="9"/>
            <color indexed="81"/>
            <rFont val="Segoe UI"/>
            <family val="2"/>
            <charset val="186"/>
          </rPr>
          <t>Tiina:</t>
        </r>
        <r>
          <rPr>
            <sz val="9"/>
            <color indexed="81"/>
            <rFont val="Segoe UI"/>
            <family val="2"/>
            <charset val="186"/>
          </rPr>
          <t xml:space="preserve">
Sisaldab investeeringut 1,4 milj.</t>
        </r>
      </text>
    </comment>
    <comment ref="J85" authorId="0" shapeId="0">
      <text>
        <r>
          <rPr>
            <b/>
            <sz val="9"/>
            <color indexed="81"/>
            <rFont val="Tahoma"/>
            <family val="2"/>
          </rPr>
          <t>Tiina:</t>
        </r>
        <r>
          <rPr>
            <sz val="9"/>
            <color indexed="81"/>
            <rFont val="Tahoma"/>
            <family val="2"/>
          </rPr>
          <t xml:space="preserve">
2022.a raamatukogu juubeliüritus</t>
        </r>
      </text>
    </comment>
    <comment ref="J88" authorId="0" shapeId="0">
      <text>
        <r>
          <rPr>
            <b/>
            <sz val="9"/>
            <color indexed="81"/>
            <rFont val="Segoe UI"/>
            <family val="2"/>
            <charset val="186"/>
          </rPr>
          <t>Tiina:</t>
        </r>
        <r>
          <rPr>
            <sz val="9"/>
            <color indexed="81"/>
            <rFont val="Segoe UI"/>
            <family val="2"/>
            <charset val="186"/>
          </rPr>
          <t xml:space="preserve">
Eelarve suunatud piirkonna kuludesse, kuna tegu ei ole seltsimajaga vaid noortetoa ruumidega, kus töötab perenaine</t>
        </r>
      </text>
    </comment>
    <comment ref="J89" authorId="0" shapeId="0">
      <text>
        <r>
          <rPr>
            <b/>
            <sz val="9"/>
            <color indexed="81"/>
            <rFont val="Tahoma"/>
            <family val="2"/>
          </rPr>
          <t>Tiina:</t>
        </r>
        <r>
          <rPr>
            <sz val="9"/>
            <color indexed="81"/>
            <rFont val="Tahoma"/>
            <family val="2"/>
          </rPr>
          <t xml:space="preserve">
2021.a sisaldab klubile eraldatud nn."katuserahasid"</t>
        </r>
      </text>
    </comment>
    <comment ref="J90" authorId="0" shapeId="0">
      <text>
        <r>
          <rPr>
            <b/>
            <sz val="9"/>
            <color indexed="81"/>
            <rFont val="Tahoma"/>
            <family val="2"/>
          </rPr>
          <t>Tiina:</t>
        </r>
        <r>
          <rPr>
            <sz val="9"/>
            <color indexed="81"/>
            <rFont val="Tahoma"/>
            <family val="2"/>
          </rPr>
          <t xml:space="preserve">
2021.a jäi ära tulenevalt piirangutest üritusi ja klubis toimuvaid ringe, mistõttu I muudatusega eelarve vähenes</t>
        </r>
      </text>
    </comment>
    <comment ref="J91" authorId="0" shapeId="0">
      <text>
        <r>
          <rPr>
            <b/>
            <sz val="9"/>
            <color indexed="81"/>
            <rFont val="Tahoma"/>
            <family val="2"/>
          </rPr>
          <t>Tiina:</t>
        </r>
        <r>
          <rPr>
            <sz val="9"/>
            <color indexed="81"/>
            <rFont val="Tahoma"/>
            <family val="2"/>
          </rPr>
          <t xml:space="preserve">
2021.a investeeringute maht 150 000€, 2022.a 100 000€</t>
        </r>
      </text>
    </comment>
    <comment ref="J92" authorId="0" shapeId="0">
      <text>
        <r>
          <rPr>
            <b/>
            <sz val="9"/>
            <color indexed="81"/>
            <rFont val="Tahoma"/>
            <family val="2"/>
          </rPr>
          <t>Tiina:</t>
        </r>
        <r>
          <rPr>
            <sz val="9"/>
            <color indexed="81"/>
            <rFont val="Tahoma"/>
            <family val="2"/>
          </rPr>
          <t xml:space="preserve">
2021.a eelarve sisaldab investeeringut</t>
        </r>
      </text>
    </comment>
    <comment ref="J93" authorId="0" shapeId="0">
      <text>
        <r>
          <rPr>
            <b/>
            <sz val="9"/>
            <color indexed="81"/>
            <rFont val="Tahoma"/>
            <family val="2"/>
          </rPr>
          <t>Tiina:</t>
        </r>
        <r>
          <rPr>
            <sz val="9"/>
            <color indexed="81"/>
            <rFont val="Tahoma"/>
            <family val="2"/>
          </rPr>
          <t xml:space="preserve">
2021.a jäi ära tulenevalt piirangutest üritusi ja klubis toimuvaid ringe, mistõttu I muudatusega eelarve vähenes</t>
        </r>
      </text>
    </comment>
    <comment ref="J96" authorId="0" shapeId="0">
      <text>
        <r>
          <rPr>
            <b/>
            <sz val="9"/>
            <color indexed="81"/>
            <rFont val="Tahoma"/>
            <family val="2"/>
          </rPr>
          <t>Tiina:</t>
        </r>
        <r>
          <rPr>
            <sz val="9"/>
            <color indexed="81"/>
            <rFont val="Tahoma"/>
            <family val="2"/>
          </rPr>
          <t xml:space="preserve">
Teavitatud hinnatõus 20% võrreldes 2021. aastaga</t>
        </r>
      </text>
    </comment>
    <comment ref="J105" authorId="0" shapeId="0">
      <text>
        <r>
          <rPr>
            <b/>
            <sz val="9"/>
            <color indexed="81"/>
            <rFont val="Tahoma"/>
            <family val="2"/>
          </rPr>
          <t>Tiina:</t>
        </r>
        <r>
          <rPr>
            <sz val="9"/>
            <color indexed="81"/>
            <rFont val="Tahoma"/>
            <family val="2"/>
          </rPr>
          <t xml:space="preserve">
investeering 47 000 päikesejaam.</t>
        </r>
      </text>
    </comment>
    <comment ref="J108" authorId="0" shapeId="0">
      <text>
        <r>
          <rPr>
            <b/>
            <sz val="9"/>
            <color indexed="81"/>
            <rFont val="Tahoma"/>
            <family val="2"/>
          </rPr>
          <t>Tiina:</t>
        </r>
        <r>
          <rPr>
            <sz val="9"/>
            <color indexed="81"/>
            <rFont val="Tahoma"/>
            <family val="2"/>
          </rPr>
          <t xml:space="preserve">
2021.a investeeringud ca. 202 tuhat eurot, 2022.a 80 tuhat eurot</t>
        </r>
      </text>
    </comment>
    <comment ref="J109" authorId="0" shapeId="0">
      <text>
        <r>
          <rPr>
            <b/>
            <sz val="9"/>
            <color indexed="81"/>
            <rFont val="Tahoma"/>
            <family val="2"/>
          </rPr>
          <t>Tiina:</t>
        </r>
        <r>
          <rPr>
            <sz val="9"/>
            <color indexed="81"/>
            <rFont val="Tahoma"/>
            <family val="2"/>
          </rPr>
          <t xml:space="preserve">
2021.a eelarves investeeringud 12 tuhat eurot, 2022.a eelarves 0€. </t>
        </r>
      </text>
    </comment>
    <comment ref="J110" authorId="0" shapeId="0">
      <text>
        <r>
          <rPr>
            <b/>
            <sz val="9"/>
            <color indexed="81"/>
            <rFont val="Tahoma"/>
            <family val="2"/>
          </rPr>
          <t>Tiina:</t>
        </r>
        <r>
          <rPr>
            <sz val="9"/>
            <color indexed="81"/>
            <rFont val="Tahoma"/>
            <family val="2"/>
          </rPr>
          <t xml:space="preserve">
2021.a investeeringud ca. 66 tuhat, 2022.a 50 tuhat</t>
        </r>
      </text>
    </comment>
    <comment ref="J111" authorId="0" shapeId="0">
      <text>
        <r>
          <rPr>
            <b/>
            <sz val="9"/>
            <color indexed="81"/>
            <rFont val="Segoe UI"/>
            <family val="2"/>
            <charset val="186"/>
          </rPr>
          <t>Tiina:</t>
        </r>
        <r>
          <rPr>
            <sz val="9"/>
            <color indexed="81"/>
            <rFont val="Segoe UI"/>
            <family val="2"/>
            <charset val="186"/>
          </rPr>
          <t xml:space="preserve">
1) 2021.a eelarve sisaldab investeeringuid summas 150 000€;
2) Muuga õppekoha kulud 2021.a eelarves 66 200€</t>
        </r>
      </text>
    </comment>
    <comment ref="J115" authorId="0" shapeId="0">
      <text>
        <r>
          <rPr>
            <b/>
            <sz val="9"/>
            <color indexed="81"/>
            <rFont val="Segoe UI"/>
            <family val="2"/>
            <charset val="186"/>
          </rPr>
          <t>Tiina:</t>
        </r>
        <r>
          <rPr>
            <sz val="9"/>
            <color indexed="81"/>
            <rFont val="Segoe UI"/>
            <family val="2"/>
            <charset val="186"/>
          </rPr>
          <t xml:space="preserve">
Vastavalt Transpordi Ametiühingu ja Autoettevõtete Liidu sõlmitud üldtöökokkuleppele tõuseb bussijuhtide miinimumtöötasu alates 2022. aasta algusest on bussijuhtide miinimumtasu 1150 eurot, alates 1. juunist 2022 tõuseb see 1200 eurole.</t>
        </r>
      </text>
    </comment>
    <comment ref="J118" authorId="0" shapeId="0">
      <text>
        <r>
          <rPr>
            <b/>
            <sz val="9"/>
            <color indexed="81"/>
            <rFont val="Tahoma"/>
            <family val="2"/>
          </rPr>
          <t>Tiina:</t>
        </r>
        <r>
          <rPr>
            <sz val="9"/>
            <color indexed="81"/>
            <rFont val="Tahoma"/>
            <family val="2"/>
          </rPr>
          <t xml:space="preserve">
2021.a eraldati halduse kuludesse saadud toetused:
1. õpilünkade parandamiseks ca. 25 tuhat eurot, 
2. õpilaste testimiseks ca. 3 300 eurot,
3. lasteasutuste juhtide ja õpetajate täiendõppeks ca. 1 800 eurot</t>
        </r>
      </text>
    </comment>
    <comment ref="J129" authorId="0" shapeId="0">
      <text>
        <r>
          <rPr>
            <b/>
            <sz val="9"/>
            <color indexed="81"/>
            <rFont val="Segoe UI"/>
            <family val="2"/>
          </rPr>
          <t>Tiina:</t>
        </r>
        <r>
          <rPr>
            <sz val="9"/>
            <color indexed="81"/>
            <rFont val="Segoe UI"/>
            <family val="2"/>
          </rPr>
          <t xml:space="preserve">
Vinni Perekodule lisandus alates 2021.a Roelasse 1 korter</t>
        </r>
      </text>
    </comment>
  </commentList>
</comments>
</file>

<file path=xl/comments2.xml><?xml version="1.0" encoding="utf-8"?>
<comments xmlns="http://schemas.openxmlformats.org/spreadsheetml/2006/main">
  <authors>
    <author>Tiina</author>
  </authors>
  <commentList>
    <comment ref="J44" authorId="0" shapeId="0">
      <text>
        <r>
          <rPr>
            <b/>
            <sz val="9"/>
            <color indexed="81"/>
            <rFont val="Tahoma"/>
            <family val="2"/>
          </rPr>
          <t>Tiina:</t>
        </r>
        <r>
          <rPr>
            <sz val="9"/>
            <color indexed="81"/>
            <rFont val="Tahoma"/>
            <family val="2"/>
          </rPr>
          <t xml:space="preserve">
Vallamaja küttesüsteemi renoveerimine 50 000€ kokku/2020.a 10 000€</t>
        </r>
      </text>
    </comment>
    <comment ref="J46" authorId="0" shapeId="0">
      <text>
        <r>
          <rPr>
            <b/>
            <sz val="9"/>
            <color indexed="81"/>
            <rFont val="Tahoma"/>
            <family val="2"/>
          </rPr>
          <t>Tiina:</t>
        </r>
        <r>
          <rPr>
            <sz val="9"/>
            <color indexed="81"/>
            <rFont val="Tahoma"/>
            <family val="2"/>
          </rPr>
          <t xml:space="preserve">
Kohaliku omavalitsuse valimiste kulud</t>
        </r>
      </text>
    </comment>
    <comment ref="J48" authorId="0" shapeId="0">
      <text>
        <r>
          <rPr>
            <b/>
            <sz val="9"/>
            <color indexed="81"/>
            <rFont val="Tahoma"/>
            <family val="2"/>
          </rPr>
          <t>Tiina:</t>
        </r>
        <r>
          <rPr>
            <sz val="9"/>
            <color indexed="81"/>
            <rFont val="Tahoma"/>
            <family val="2"/>
          </rPr>
          <t xml:space="preserve">
Liikmemaksude kallinemine, nt Virumaa Koostöökogu, Virol</t>
        </r>
      </text>
    </comment>
    <comment ref="J55" authorId="0" shapeId="0">
      <text>
        <r>
          <rPr>
            <b/>
            <sz val="9"/>
            <color indexed="81"/>
            <rFont val="Tahoma"/>
            <family val="2"/>
          </rPr>
          <t>Tiina:</t>
        </r>
        <r>
          <rPr>
            <sz val="9"/>
            <color indexed="81"/>
            <rFont val="Tahoma"/>
            <family val="2"/>
          </rPr>
          <t xml:space="preserve">
MS Office, Windows tasud siiani koolide eelarves, kokku summas 7350€</t>
        </r>
      </text>
    </comment>
    <comment ref="J56" authorId="0" shapeId="0">
      <text>
        <r>
          <rPr>
            <b/>
            <sz val="9"/>
            <color indexed="81"/>
            <rFont val="Tahoma"/>
            <family val="2"/>
          </rPr>
          <t>Tiina:</t>
        </r>
        <r>
          <rPr>
            <sz val="9"/>
            <color indexed="81"/>
            <rFont val="Tahoma"/>
            <family val="2"/>
          </rPr>
          <t xml:space="preserve">
1. 2021.a naaseb keskkonna- ja kommunaalnõunik tööle, töötasu kulude kasv sellest ca. 6700€, millele lisanduvad muud kulud ca. 2500€ (nt. koolitused, isikliku sõiduauto komp jms).
2. 2020.a jäi kaunis kodu konkurss ära ning vahendid suunati vabanevatesse vahenditesse. 2021.a planeering konkursile 3000€;
</t>
        </r>
      </text>
    </comment>
    <comment ref="J58" authorId="0" shapeId="0">
      <text>
        <r>
          <rPr>
            <b/>
            <sz val="9"/>
            <color indexed="81"/>
            <rFont val="Tahoma"/>
            <family val="2"/>
          </rPr>
          <t>Tiina:</t>
        </r>
        <r>
          <rPr>
            <sz val="9"/>
            <color indexed="81"/>
            <rFont val="Tahoma"/>
            <family val="2"/>
          </rPr>
          <t xml:space="preserve">
Laekvere jäätmejaama rajamine 167 256</t>
        </r>
      </text>
    </comment>
    <comment ref="F61" authorId="0" shapeId="0">
      <text>
        <r>
          <rPr>
            <b/>
            <sz val="9"/>
            <color indexed="81"/>
            <rFont val="Tahoma"/>
            <family val="2"/>
          </rPr>
          <t>Tiina:</t>
        </r>
        <r>
          <rPr>
            <sz val="9"/>
            <color indexed="81"/>
            <rFont val="Tahoma"/>
            <family val="2"/>
          </rPr>
          <t xml:space="preserve">
ÜVK</t>
        </r>
      </text>
    </comment>
    <comment ref="J64" authorId="0" shapeId="0">
      <text>
        <r>
          <rPr>
            <b/>
            <sz val="9"/>
            <color indexed="81"/>
            <rFont val="Tahoma"/>
            <family val="2"/>
          </rPr>
          <t>Tiina:</t>
        </r>
        <r>
          <rPr>
            <sz val="9"/>
            <color indexed="81"/>
            <rFont val="Tahoma"/>
            <family val="2"/>
          </rPr>
          <t xml:space="preserve">
</t>
        </r>
        <r>
          <rPr>
            <sz val="9"/>
            <color indexed="81"/>
            <rFont val="Arial"/>
            <family val="2"/>
          </rPr>
          <t>Taotletavad lisainvesteeringud 25 000€ - mururaider, teeninduspunkti juures oleva korstna renoveerimine</t>
        </r>
      </text>
    </comment>
    <comment ref="J65" authorId="0" shapeId="0">
      <text>
        <r>
          <rPr>
            <b/>
            <sz val="9"/>
            <color indexed="81"/>
            <rFont val="Tahoma"/>
            <family val="2"/>
          </rPr>
          <t>Tiina:</t>
        </r>
        <r>
          <rPr>
            <sz val="9"/>
            <color indexed="81"/>
            <rFont val="Tahoma"/>
            <family val="2"/>
          </rPr>
          <t xml:space="preserve">
Covid lisainvesteeringud 95 000€ - Kesk15 katus, Viru-Jaagupi kabel, Tudu saun</t>
        </r>
      </text>
    </comment>
    <comment ref="J66" authorId="0" shapeId="0">
      <text>
        <r>
          <rPr>
            <b/>
            <sz val="9"/>
            <color indexed="81"/>
            <rFont val="Tahoma"/>
            <family val="2"/>
          </rPr>
          <t>Tiina:</t>
        </r>
        <r>
          <rPr>
            <sz val="9"/>
            <color indexed="81"/>
            <rFont val="Tahoma"/>
            <family val="2"/>
          </rPr>
          <t xml:space="preserve">
Valla korterite kommunaalkulud ja sõidukite kulud väiksemad.</t>
        </r>
      </text>
    </comment>
    <comment ref="J67" authorId="0" shapeId="0">
      <text>
        <r>
          <rPr>
            <b/>
            <sz val="9"/>
            <color indexed="81"/>
            <rFont val="Tahoma"/>
            <family val="2"/>
          </rPr>
          <t>Tiina:</t>
        </r>
        <r>
          <rPr>
            <sz val="9"/>
            <color indexed="81"/>
            <rFont val="Tahoma"/>
            <family val="2"/>
          </rPr>
          <t xml:space="preserve">
2020.a planeeringus kalmistu aed 10 000</t>
        </r>
      </text>
    </comment>
    <comment ref="J68" authorId="0" shapeId="0">
      <text>
        <r>
          <rPr>
            <b/>
            <sz val="9"/>
            <color indexed="81"/>
            <rFont val="Tahoma"/>
            <family val="2"/>
          </rPr>
          <t>Tiina:</t>
        </r>
        <r>
          <rPr>
            <sz val="9"/>
            <color indexed="81"/>
            <rFont val="Tahoma"/>
            <family val="2"/>
          </rPr>
          <t xml:space="preserve">
2020.a planeeringus küttepuude soetamine, mida soetatakse üle aasta.</t>
        </r>
      </text>
    </comment>
    <comment ref="J75" authorId="0" shapeId="0">
      <text>
        <r>
          <rPr>
            <b/>
            <sz val="9"/>
            <color indexed="81"/>
            <rFont val="Tahoma"/>
            <family val="2"/>
          </rPr>
          <t>Tiina:</t>
        </r>
        <r>
          <rPr>
            <sz val="9"/>
            <color indexed="81"/>
            <rFont val="Tahoma"/>
            <family val="2"/>
          </rPr>
          <t xml:space="preserve">
Elektrikulude kasv</t>
        </r>
      </text>
    </comment>
    <comment ref="J81" authorId="0" shapeId="0">
      <text>
        <r>
          <rPr>
            <b/>
            <sz val="9"/>
            <color indexed="81"/>
            <rFont val="Tahoma"/>
            <family val="2"/>
          </rPr>
          <t>Tiina:</t>
        </r>
        <r>
          <rPr>
            <sz val="9"/>
            <color indexed="81"/>
            <rFont val="Tahoma"/>
            <family val="2"/>
          </rPr>
          <t xml:space="preserve">
2020.a eraldatud san.tehnilisteks töödeks vahendid 5000€</t>
        </r>
      </text>
    </comment>
    <comment ref="J82" authorId="0" shapeId="0">
      <text>
        <r>
          <rPr>
            <b/>
            <sz val="9"/>
            <color indexed="81"/>
            <rFont val="Tahoma"/>
            <family val="2"/>
          </rPr>
          <t>Tiina:</t>
        </r>
        <r>
          <rPr>
            <sz val="9"/>
            <color indexed="81"/>
            <rFont val="Tahoma"/>
            <family val="2"/>
          </rPr>
          <t xml:space="preserve">
2020.a eelarves investeering 130 000€</t>
        </r>
      </text>
    </comment>
    <comment ref="J84" authorId="0" shapeId="0">
      <text>
        <r>
          <rPr>
            <b/>
            <sz val="9"/>
            <color indexed="81"/>
            <rFont val="Tahoma"/>
            <family val="2"/>
          </rPr>
          <t>Tiina:</t>
        </r>
        <r>
          <rPr>
            <sz val="9"/>
            <color indexed="81"/>
            <rFont val="Tahoma"/>
            <family val="2"/>
          </rPr>
          <t xml:space="preserve">
Teavikute vajadus väiksem</t>
        </r>
      </text>
    </comment>
    <comment ref="J85" authorId="0" shapeId="0">
      <text>
        <r>
          <rPr>
            <b/>
            <sz val="9"/>
            <color indexed="81"/>
            <rFont val="Tahoma"/>
            <family val="2"/>
          </rPr>
          <t>Tiina:</t>
        </r>
        <r>
          <rPr>
            <sz val="9"/>
            <color indexed="81"/>
            <rFont val="Tahoma"/>
            <family val="2"/>
          </rPr>
          <t xml:space="preserve">
Loodud uued üritused lugemise propageerimiseks - ülevallalised lastele ja täiskasvanutele </t>
        </r>
      </text>
    </comment>
    <comment ref="J88" authorId="0" shapeId="0">
      <text>
        <r>
          <rPr>
            <b/>
            <sz val="9"/>
            <color indexed="81"/>
            <rFont val="Tahoma"/>
            <family val="2"/>
          </rPr>
          <t>Tiina:</t>
        </r>
        <r>
          <rPr>
            <sz val="9"/>
            <color indexed="81"/>
            <rFont val="Tahoma"/>
            <family val="2"/>
          </rPr>
          <t xml:space="preserve">
COVID lisainvesteering 25 000</t>
        </r>
      </text>
    </comment>
    <comment ref="J89" authorId="0" shapeId="0">
      <text>
        <r>
          <rPr>
            <b/>
            <sz val="9"/>
            <color indexed="81"/>
            <rFont val="Tahoma"/>
            <family val="2"/>
          </rPr>
          <t>Tiina:</t>
        </r>
        <r>
          <rPr>
            <sz val="9"/>
            <color indexed="81"/>
            <rFont val="Tahoma"/>
            <family val="2"/>
          </rPr>
          <t xml:space="preserve">
2020.a sisaldab investeeringut 40 000</t>
        </r>
      </text>
    </comment>
    <comment ref="J90" authorId="0" shapeId="0">
      <text>
        <r>
          <rPr>
            <b/>
            <sz val="9"/>
            <color indexed="81"/>
            <rFont val="Tahoma"/>
            <family val="2"/>
          </rPr>
          <t>Tiina:</t>
        </r>
        <r>
          <rPr>
            <sz val="9"/>
            <color indexed="81"/>
            <rFont val="Tahoma"/>
            <family val="2"/>
          </rPr>
          <t xml:space="preserve">
1. 2021.a ühtlustatakse rahvamajade/klubide/seltsimajade ringijuhtide tasud, millest tulenevalt Roela Rahvamajal personalikulude vajadus suureneb 5770,87;
2. Küttekulud 2020.a väiksemad, tulenevalt eriolukorrast. Planeeritud 2019.a põhiselt, kulude kasv võrreldes 2020.a planeeringuga 2000€.</t>
        </r>
      </text>
    </comment>
    <comment ref="J92" authorId="0" shapeId="0">
      <text>
        <r>
          <rPr>
            <b/>
            <sz val="9"/>
            <color indexed="81"/>
            <rFont val="Tahoma"/>
            <family val="2"/>
          </rPr>
          <t>Tiina:</t>
        </r>
        <r>
          <rPr>
            <sz val="9"/>
            <color indexed="81"/>
            <rFont val="Tahoma"/>
            <family val="2"/>
          </rPr>
          <t xml:space="preserve">
1. 2020.a investeeringute maht 116 820; 2021.a 150 000€ ehk mahu kasv 33 180€;
2. 2021.a ühtlustatakse rahvamajade/klubide/seltsimajade ringijuhtide tasud, millest tulenevalt Laekvere Rahvamajal personalikulude vajadus suureneb 3 521,73;
3. 2020.a jäi ära väga palju üritusi seoses eriolukorraga, esialgne eelarve oli ca. 10 500€ võrra suurem.
4. 2021. a koolituskulude vajadus suurem ca. 900€ </t>
        </r>
      </text>
    </comment>
    <comment ref="J93" authorId="0" shapeId="0">
      <text>
        <r>
          <rPr>
            <b/>
            <sz val="9"/>
            <color indexed="81"/>
            <rFont val="Tahoma"/>
            <family val="2"/>
          </rPr>
          <t>Tiina:</t>
        </r>
        <r>
          <rPr>
            <sz val="9"/>
            <color indexed="81"/>
            <rFont val="Tahoma"/>
            <family val="2"/>
          </rPr>
          <t xml:space="preserve">
1.COVID lisainvesteering 20 800;
2. majandamiskulude tõus - elekter</t>
        </r>
      </text>
    </comment>
    <comment ref="J94" authorId="0" shapeId="0">
      <text>
        <r>
          <rPr>
            <b/>
            <sz val="9"/>
            <color indexed="81"/>
            <rFont val="Tahoma"/>
            <family val="2"/>
          </rPr>
          <t>Tiina:</t>
        </r>
        <r>
          <rPr>
            <sz val="9"/>
            <color indexed="81"/>
            <rFont val="Tahoma"/>
            <family val="2"/>
          </rPr>
          <t xml:space="preserve">
2020.a jäi ära üritusi seoses eriolukorraga ca. 900€ ulatuses ning seetõttu olid ka kinnitu hooldega seotud kulud väiksemad ca. 2000€ (nt. iga-aastast saali põrandavahatamist ei olnud vajadust teha, kulu sellele ca. 500€).</t>
        </r>
      </text>
    </comment>
    <comment ref="J101" authorId="0" shapeId="0">
      <text>
        <r>
          <rPr>
            <b/>
            <sz val="9"/>
            <color indexed="81"/>
            <rFont val="Tahoma"/>
            <family val="2"/>
          </rPr>
          <t>Tiina:</t>
        </r>
        <r>
          <rPr>
            <sz val="9"/>
            <color indexed="81"/>
            <rFont val="Tahoma"/>
            <family val="2"/>
          </rPr>
          <t xml:space="preserve">
1. 2021.a kaotatakse struktuurist 2 valvuri ametikohta, kuna asutusele on paigaldatud 2019-2020. aastatel valvekaamerad.</t>
        </r>
      </text>
    </comment>
    <comment ref="J103" authorId="0" shapeId="0">
      <text>
        <r>
          <rPr>
            <b/>
            <sz val="9"/>
            <color indexed="81"/>
            <rFont val="Tahoma"/>
            <family val="2"/>
          </rPr>
          <t>Tiina:</t>
        </r>
        <r>
          <rPr>
            <sz val="9"/>
            <color indexed="81"/>
            <rFont val="Tahoma"/>
            <family val="2"/>
          </rPr>
          <t xml:space="preserve">
1. 2020.a eelarve sisaldab investeeringut 15206,40;
2. inventari vajadus väiksem
</t>
        </r>
      </text>
    </comment>
    <comment ref="J105" authorId="0" shapeId="0">
      <text>
        <r>
          <rPr>
            <b/>
            <sz val="9"/>
            <color indexed="81"/>
            <rFont val="Tahoma"/>
            <family val="2"/>
          </rPr>
          <t>Tiina:</t>
        </r>
        <r>
          <rPr>
            <sz val="9"/>
            <color indexed="81"/>
            <rFont val="Tahoma"/>
            <family val="2"/>
          </rPr>
          <t xml:space="preserve">
2021.a invetari vajadus väiksem ning 2020.a tagastati Saku Läte automaat, mida ei kasutatud.</t>
        </r>
      </text>
    </comment>
    <comment ref="J106" authorId="0" shapeId="0">
      <text>
        <r>
          <rPr>
            <b/>
            <sz val="9"/>
            <color indexed="81"/>
            <rFont val="Tahoma"/>
            <family val="2"/>
          </rPr>
          <t>Tiina:</t>
        </r>
        <r>
          <rPr>
            <sz val="9"/>
            <color indexed="81"/>
            <rFont val="Tahoma"/>
            <family val="2"/>
          </rPr>
          <t xml:space="preserve">
Lasteaia hoiurühm muudetakse alates 2021.a jaan aiarühmaks, lapsehoidjate (2) ametikohad muudetakse õpetaja ametikohtadeks ning lisandub õpetaja abi ametikoht.</t>
        </r>
      </text>
    </comment>
    <comment ref="J107" authorId="0" shapeId="0">
      <text>
        <r>
          <rPr>
            <b/>
            <sz val="9"/>
            <color indexed="81"/>
            <rFont val="Tahoma"/>
            <family val="2"/>
          </rPr>
          <t>Tiina:</t>
        </r>
        <r>
          <rPr>
            <sz val="9"/>
            <color indexed="81"/>
            <rFont val="Tahoma"/>
            <family val="2"/>
          </rPr>
          <t xml:space="preserve">
Õppevahendite vajaduse suurenemine </t>
        </r>
      </text>
    </comment>
    <comment ref="J109" authorId="0" shapeId="0">
      <text>
        <r>
          <rPr>
            <b/>
            <sz val="9"/>
            <color indexed="81"/>
            <rFont val="Tahoma"/>
            <family val="2"/>
          </rPr>
          <t>Tiina:</t>
        </r>
        <r>
          <rPr>
            <sz val="9"/>
            <color indexed="81"/>
            <rFont val="Tahoma"/>
            <family val="2"/>
          </rPr>
          <t xml:space="preserve">
1. 2020.a investeeringute lükkumisest 2021.aastasse ning investeeringute mahu muudatus.
2. Päikesepargi rajamine 44 346€;</t>
        </r>
      </text>
    </comment>
    <comment ref="J110" authorId="0" shapeId="0">
      <text>
        <r>
          <rPr>
            <b/>
            <sz val="9"/>
            <color indexed="81"/>
            <rFont val="Tahoma"/>
            <family val="2"/>
          </rPr>
          <t>Tiina:</t>
        </r>
        <r>
          <rPr>
            <sz val="9"/>
            <color indexed="81"/>
            <rFont val="Tahoma"/>
            <family val="2"/>
          </rPr>
          <t xml:space="preserve">
1. 2020.a eelarve sisaldab investeeringut summas 51 000€;
2. Pelletiküttele üleminekuga, kaob katlakütjate ametikohate vajadus</t>
        </r>
      </text>
    </comment>
    <comment ref="J111" authorId="0" shapeId="0">
      <text>
        <r>
          <rPr>
            <b/>
            <sz val="9"/>
            <color indexed="81"/>
            <rFont val="Tahoma"/>
            <family val="2"/>
          </rPr>
          <t>Tiina:</t>
        </r>
        <r>
          <rPr>
            <sz val="9"/>
            <color indexed="81"/>
            <rFont val="Tahoma"/>
            <family val="2"/>
          </rPr>
          <t xml:space="preserve">
1. Investeeringute maht võrreldes 2020.a suurem 34 346€;
2. 2020.a lisaeelarvega eraldati VPG-le driftautode soetamiseks 7500€
3. Pedagoogiliste vahendite suurenemine võrreldes 2020.a</t>
        </r>
      </text>
    </comment>
    <comment ref="J112" authorId="0" shapeId="0">
      <text>
        <r>
          <rPr>
            <b/>
            <sz val="9"/>
            <color indexed="81"/>
            <rFont val="Tahoma"/>
            <family val="2"/>
          </rPr>
          <t>Tiina:</t>
        </r>
        <r>
          <rPr>
            <sz val="9"/>
            <color indexed="81"/>
            <rFont val="Tahoma"/>
            <family val="2"/>
          </rPr>
          <t xml:space="preserve">
1. Muuga õppekoha sulgemine 30.06.2021;
2. 2020.a eelarve sisaldab investeeringuid summas 290 000€;</t>
        </r>
      </text>
    </comment>
    <comment ref="J115" authorId="0" shapeId="0">
      <text>
        <r>
          <rPr>
            <b/>
            <sz val="9"/>
            <color indexed="81"/>
            <rFont val="Tahoma"/>
            <family val="2"/>
          </rPr>
          <t>Tiina:</t>
        </r>
        <r>
          <rPr>
            <sz val="9"/>
            <color indexed="81"/>
            <rFont val="Tahoma"/>
            <family val="2"/>
          </rPr>
          <t xml:space="preserve">
Muusikakooli kallinemine 17 980€</t>
        </r>
      </text>
    </comment>
    <comment ref="J116" authorId="0" shapeId="0">
      <text>
        <r>
          <rPr>
            <b/>
            <sz val="9"/>
            <color indexed="81"/>
            <rFont val="Tahoma"/>
            <family val="2"/>
          </rPr>
          <t>Tiina:</t>
        </r>
        <r>
          <rPr>
            <sz val="9"/>
            <color indexed="81"/>
            <rFont val="Tahoma"/>
            <family val="2"/>
          </rPr>
          <t xml:space="preserve">
2020.a vähendatud eelarvet 20 000€, tulenevalt COVID mõjust</t>
        </r>
      </text>
    </comment>
    <comment ref="J118" authorId="0" shapeId="0">
      <text>
        <r>
          <rPr>
            <b/>
            <sz val="9"/>
            <color indexed="81"/>
            <rFont val="Tahoma"/>
            <family val="2"/>
          </rPr>
          <t>Tiina:</t>
        </r>
        <r>
          <rPr>
            <sz val="9"/>
            <color indexed="81"/>
            <rFont val="Tahoma"/>
            <family val="2"/>
          </rPr>
          <t xml:space="preserve">
2020.a eraldatud lisavahendid tulenevalt töötaja lahkumisest.</t>
        </r>
      </text>
    </comment>
    <comment ref="J119" authorId="0" shapeId="0">
      <text>
        <r>
          <rPr>
            <b/>
            <sz val="9"/>
            <color indexed="81"/>
            <rFont val="Tahoma"/>
            <family val="2"/>
          </rPr>
          <t>Tiina:</t>
        </r>
        <r>
          <rPr>
            <sz val="9"/>
            <color indexed="81"/>
            <rFont val="Tahoma"/>
            <family val="2"/>
          </rPr>
          <t xml:space="preserve">
Sisaldab ped.vahendite reservi</t>
        </r>
      </text>
    </comment>
    <comment ref="J122" authorId="0" shapeId="0">
      <text>
        <r>
          <rPr>
            <b/>
            <sz val="9"/>
            <color indexed="81"/>
            <rFont val="Tahoma"/>
            <family val="2"/>
          </rPr>
          <t>Tiina:</t>
        </r>
        <r>
          <rPr>
            <sz val="9"/>
            <color indexed="81"/>
            <rFont val="Tahoma"/>
            <family val="2"/>
          </rPr>
          <t xml:space="preserve">
Projekt puuetega inimestele 10 000€</t>
        </r>
      </text>
    </comment>
    <comment ref="J123" authorId="0" shapeId="0">
      <text>
        <r>
          <rPr>
            <b/>
            <sz val="9"/>
            <color indexed="81"/>
            <rFont val="Tahoma"/>
            <family val="2"/>
          </rPr>
          <t>Tiina:</t>
        </r>
        <r>
          <rPr>
            <sz val="9"/>
            <color indexed="81"/>
            <rFont val="Tahoma"/>
            <family val="2"/>
          </rPr>
          <t xml:space="preserve">
1. puuetega in.hooldaja toetuse vajaduse tõus 23 200€;
2. tugiisikuteenuse vajadus, mida ei tagata SKA kaudu 44 154€;
3. Muud puuetega in. toetuste vajaduse tõus 21 270€;
4. puuetega laste hooldaja toetuse vajaduse tõus 10 299€</t>
        </r>
      </text>
    </comment>
    <comment ref="J124" authorId="0" shapeId="0">
      <text>
        <r>
          <rPr>
            <b/>
            <sz val="9"/>
            <color indexed="81"/>
            <rFont val="Tahoma"/>
            <family val="2"/>
          </rPr>
          <t>Tiina:</t>
        </r>
        <r>
          <rPr>
            <sz val="9"/>
            <color indexed="81"/>
            <rFont val="Tahoma"/>
            <family val="2"/>
          </rPr>
          <t xml:space="preserve">
Valla eestkostel olevate eakate hooldetasude mahu kasv 23 700</t>
        </r>
      </text>
    </comment>
    <comment ref="J125" authorId="0" shapeId="0">
      <text>
        <r>
          <rPr>
            <b/>
            <sz val="9"/>
            <color indexed="81"/>
            <rFont val="Tahoma"/>
            <family val="2"/>
          </rPr>
          <t>Tiina:</t>
        </r>
        <r>
          <rPr>
            <sz val="9"/>
            <color indexed="81"/>
            <rFont val="Tahoma"/>
            <family val="2"/>
          </rPr>
          <t xml:space="preserve">
Hooldekodu personalikulude tõus 3967,17</t>
        </r>
      </text>
    </comment>
    <comment ref="J126" authorId="0" shapeId="0">
      <text>
        <r>
          <rPr>
            <b/>
            <sz val="9"/>
            <color indexed="81"/>
            <rFont val="Tahoma"/>
            <family val="2"/>
          </rPr>
          <t>Tiina:</t>
        </r>
        <r>
          <rPr>
            <sz val="9"/>
            <color indexed="81"/>
            <rFont val="Tahoma"/>
            <family val="2"/>
          </rPr>
          <t xml:space="preserve">
1. 2020.a planeeritud investeering kandub 2021. aastasse, millele lisandub päikesepargi rajamine. Kogu investeeringu maht 795 010. 2020.a eelarves kajastub hetkel investeering summas 403 088€. Investeeringust tõus 391 922;
2. Hooldekodu kulud suurenenud: personalikulud 17 440€; kinnistu vee- ja kanalisatsiooni kulude mahu kasv 1600; inventar 1900€. Kokku 20 940€
</t>
        </r>
      </text>
    </comment>
    <comment ref="J128" authorId="0" shapeId="0">
      <text>
        <r>
          <rPr>
            <b/>
            <sz val="9"/>
            <color indexed="81"/>
            <rFont val="Tahoma"/>
            <family val="2"/>
          </rPr>
          <t>Tiina:</t>
        </r>
        <r>
          <rPr>
            <sz val="9"/>
            <color indexed="81"/>
            <rFont val="Tahoma"/>
            <family val="2"/>
          </rPr>
          <t xml:space="preserve">
Ühekordsete toetuste vajadus väiksem</t>
        </r>
      </text>
    </comment>
    <comment ref="J130" authorId="0" shapeId="0">
      <text>
        <r>
          <rPr>
            <b/>
            <sz val="9"/>
            <color indexed="81"/>
            <rFont val="Tahoma"/>
            <family val="2"/>
          </rPr>
          <t>Tiina:</t>
        </r>
        <r>
          <rPr>
            <sz val="9"/>
            <color indexed="81"/>
            <rFont val="Tahoma"/>
            <family val="2"/>
          </rPr>
          <t xml:space="preserve">
1. Päikesepargi rajamine 48 899;
2.Perekodu personalikulude kasv 26 264,94€; majanduskulud kasv 34 378,11 (nt. med.kulude kasv 5600€, sõidukite kulude kasv 4280€, admin kulude kasv 4380€, vaba aja sisustamisega seotud kulud 7215€, koolituskulude kasv 2500€, kinnistu kulu kasv 31 724 - sh elektri kasv 17 000€</t>
        </r>
      </text>
    </comment>
    <comment ref="J131" authorId="0" shapeId="0">
      <text>
        <r>
          <rPr>
            <b/>
            <sz val="9"/>
            <color indexed="81"/>
            <rFont val="Tahoma"/>
            <family val="2"/>
          </rPr>
          <t>Tiina:</t>
        </r>
        <r>
          <rPr>
            <sz val="9"/>
            <color indexed="81"/>
            <rFont val="Tahoma"/>
            <family val="2"/>
          </rPr>
          <t xml:space="preserve">
1. matusetoetuse mahu vähenemine ca. 7200€</t>
        </r>
      </text>
    </comment>
    <comment ref="J133" authorId="0" shapeId="0">
      <text>
        <r>
          <rPr>
            <b/>
            <sz val="9"/>
            <color indexed="81"/>
            <rFont val="Tahoma"/>
            <family val="2"/>
          </rPr>
          <t>Tiina:</t>
        </r>
        <r>
          <rPr>
            <sz val="9"/>
            <color indexed="81"/>
            <rFont val="Tahoma"/>
            <family val="2"/>
          </rPr>
          <t xml:space="preserve">
1. Sotsiaalkorterite remondi mahu kasv 6200;
2. 500 kodu korda omaosalus 2000€</t>
        </r>
      </text>
    </comment>
    <comment ref="J134" authorId="0" shapeId="0">
      <text>
        <r>
          <rPr>
            <b/>
            <sz val="9"/>
            <color indexed="81"/>
            <rFont val="Tahoma"/>
            <family val="2"/>
          </rPr>
          <t>Tiina:</t>
        </r>
        <r>
          <rPr>
            <sz val="9"/>
            <color indexed="81"/>
            <rFont val="Tahoma"/>
            <family val="2"/>
          </rPr>
          <t xml:space="preserve">
2020.a kajastatud kui puuetega inimeste sotsiaalhoolekandeasutuste all. Rehabilitatsiooni keskusesse suunatud inimeste toetus, kelle sissetulek jääb alla madala sissetuleku määra. </t>
        </r>
      </text>
    </comment>
    <comment ref="J135" authorId="0" shapeId="0">
      <text>
        <r>
          <rPr>
            <b/>
            <sz val="9"/>
            <color indexed="81"/>
            <rFont val="Tahoma"/>
            <family val="2"/>
          </rPr>
          <t>Tiina:</t>
        </r>
        <r>
          <rPr>
            <sz val="9"/>
            <color indexed="81"/>
            <rFont val="Tahoma"/>
            <family val="2"/>
          </rPr>
          <t xml:space="preserve">
2020.a eelarve sisaldab 2019.a jääki</t>
        </r>
      </text>
    </comment>
    <comment ref="J136" authorId="0" shapeId="0">
      <text>
        <r>
          <rPr>
            <b/>
            <sz val="9"/>
            <color indexed="81"/>
            <rFont val="Tahoma"/>
            <family val="2"/>
          </rPr>
          <t>Tiina:</t>
        </r>
        <r>
          <rPr>
            <sz val="9"/>
            <color indexed="81"/>
            <rFont val="Tahoma"/>
            <family val="2"/>
          </rPr>
          <t xml:space="preserve">
1. 2021.a sisaldab Ulvi arstipunkti/teeninduskeskuse soojustamise investeeringut 60 000€; 2020.a eelarves investeeringute maht 5 000€. Mahu kasv investeeringust 55 000€
2. Erakorraliste toetuste mahu vähenemine ca. 8000€;
3. Varjupaikade mahu vähenemine 2000€</t>
        </r>
      </text>
    </comment>
    <comment ref="J137" authorId="0" shapeId="0">
      <text>
        <r>
          <rPr>
            <b/>
            <sz val="9"/>
            <color indexed="81"/>
            <rFont val="Tahoma"/>
            <family val="2"/>
          </rPr>
          <t>Tiina:</t>
        </r>
        <r>
          <rPr>
            <sz val="9"/>
            <color indexed="81"/>
            <rFont val="Tahoma"/>
            <family val="2"/>
          </rPr>
          <t xml:space="preserve">
1. 2020.a eelarve sisaldab põhivara soetust</t>
        </r>
      </text>
    </comment>
  </commentList>
</comments>
</file>

<file path=xl/sharedStrings.xml><?xml version="1.0" encoding="utf-8"?>
<sst xmlns="http://schemas.openxmlformats.org/spreadsheetml/2006/main" count="13323" uniqueCount="1580">
  <si>
    <t>Eelarvearuanne</t>
  </si>
  <si>
    <t/>
  </si>
  <si>
    <t>Kirje nimetus</t>
  </si>
  <si>
    <t>Eelarve</t>
  </si>
  <si>
    <t>Täitmine</t>
  </si>
  <si>
    <t>Eelarve muutus</t>
  </si>
  <si>
    <t>%</t>
  </si>
  <si>
    <t>Põhitegevuse tulud</t>
  </si>
  <si>
    <t>Maksutulud</t>
  </si>
  <si>
    <t>Füüsilise isiku tulumaks</t>
  </si>
  <si>
    <t>Maamaks</t>
  </si>
  <si>
    <t>Maksutulud kokku</t>
  </si>
  <si>
    <t>Tulud kaupade ja teenuste müügist</t>
  </si>
  <si>
    <t>Saadud toetused tegevuskuludeks</t>
  </si>
  <si>
    <t>Tasandusfond</t>
  </si>
  <si>
    <t>Toetusfond</t>
  </si>
  <si>
    <t>Muud saadud toetused tegevuskuludeks</t>
  </si>
  <si>
    <t>Saadud toetused tegevuskuludeks kokku</t>
  </si>
  <si>
    <t>Muud tegevustulud</t>
  </si>
  <si>
    <t>Kohaliku tähtsusega maardlate kaevandamisõiguse tasu</t>
  </si>
  <si>
    <t>Laekumine vee erikasutusest</t>
  </si>
  <si>
    <t>Saastetasud ja keskkonnale tekitatud kahju hüvitis</t>
  </si>
  <si>
    <t>Muud tegevustulud kokku</t>
  </si>
  <si>
    <t>Põhitegevuse tulud kokku</t>
  </si>
  <si>
    <t>Põhitegevuse kulud</t>
  </si>
  <si>
    <t>Antud toetused tegevuskuludeks</t>
  </si>
  <si>
    <t>Sotsiaalabitoetused ja muud toetused füüsilistele isikutele</t>
  </si>
  <si>
    <t>Sihtotstarbelised toetused tegevuskuludeks</t>
  </si>
  <si>
    <t>Mittesihtotstarbelised toetused</t>
  </si>
  <si>
    <t>Antud toetused tegevuskuludeks kokku</t>
  </si>
  <si>
    <t>Muud tegevuskulud</t>
  </si>
  <si>
    <t>Tööjõukulud</t>
  </si>
  <si>
    <t>Majandamiskulud</t>
  </si>
  <si>
    <t>Muud kulud</t>
  </si>
  <si>
    <t>Muud tegevuskulud kokku</t>
  </si>
  <si>
    <t>Põhitegevuse kulud kokku</t>
  </si>
  <si>
    <t>Põhitegevuse tulem</t>
  </si>
  <si>
    <t>Investeerimistegevus</t>
  </si>
  <si>
    <t>Põhivara müük (+)</t>
  </si>
  <si>
    <t>Põhivara soetus (-)</t>
  </si>
  <si>
    <t>Põhivara soetuseks saadav sihtfinantseerimine (+)</t>
  </si>
  <si>
    <t>Põhivara soetuseks antav sihtfinantseerimine (-)</t>
  </si>
  <si>
    <t>Finantstulud (+)</t>
  </si>
  <si>
    <t>Finantskulud (-)</t>
  </si>
  <si>
    <t>Investeerimistegevus kokku</t>
  </si>
  <si>
    <t>Eelarve tulem (ülejääk (+) / puudujääk (-))</t>
  </si>
  <si>
    <t>Finantseerimistegevus</t>
  </si>
  <si>
    <t>Kohustuste võtmine (+)</t>
  </si>
  <si>
    <t>Kohustuste tasumine (-)</t>
  </si>
  <si>
    <t>Finantseerimistegevus kokku</t>
  </si>
  <si>
    <t>Likviidsete varade muutus (+ suurenemine, - vähenemine)</t>
  </si>
  <si>
    <t>Nõuete ja kohustuste saldode muutus  (+ suurenemine, - vähenemine)</t>
  </si>
  <si>
    <t>Üldised valitsussektori teenused</t>
  </si>
  <si>
    <t>Valla- ja linnavolikogu</t>
  </si>
  <si>
    <t>Valla- ja linnavalitsus</t>
  </si>
  <si>
    <t>Kohaliku omavalitsuse üksuse reservfond</t>
  </si>
  <si>
    <t>Muud üldised valitsussektori teenused</t>
  </si>
  <si>
    <t>Valitsussektori võla teenindamine</t>
  </si>
  <si>
    <t>Üldiseloomuga ülekanded valitsussektoris</t>
  </si>
  <si>
    <t>Üldised valitsussektori teenused kokku</t>
  </si>
  <si>
    <t>Riigikaitse</t>
  </si>
  <si>
    <t>Muu riigikaitse</t>
  </si>
  <si>
    <t>Riigikaitse kokku</t>
  </si>
  <si>
    <t>Avalik kord ja julgeolek</t>
  </si>
  <si>
    <t>Päästeteenused</t>
  </si>
  <si>
    <t>Avalik kord ja julgeolek kokku</t>
  </si>
  <si>
    <t>Majandus</t>
  </si>
  <si>
    <t>Maanteetransport</t>
  </si>
  <si>
    <t>Side</t>
  </si>
  <si>
    <t>Muu majandus (sh majanduse haldus)</t>
  </si>
  <si>
    <t>Majandus kokku</t>
  </si>
  <si>
    <t>Keskkonnakaitse</t>
  </si>
  <si>
    <t>Jäätmekäitlus</t>
  </si>
  <si>
    <t>Muu keskkonnakaitse (sh keskkonnakaitse haldus)</t>
  </si>
  <si>
    <t>Keskkonnakaitse kokku</t>
  </si>
  <si>
    <t>Elamu- ja kommunaalmajandus</t>
  </si>
  <si>
    <t>Veevarustus</t>
  </si>
  <si>
    <t>Tänavavalgustus</t>
  </si>
  <si>
    <t>Muu elamu- ja kommunaalmajanduse tegevus</t>
  </si>
  <si>
    <t>Laekvere teeninduspiirkond</t>
  </si>
  <si>
    <t>Roela, Tudu, Viru-Jaagupi teeninduspiirkond</t>
  </si>
  <si>
    <t>Ulvi, Vinni-Pajusti teeninduspiirkond</t>
  </si>
  <si>
    <t>Elamu- ja kommunaalmajandus kokku</t>
  </si>
  <si>
    <t>Tervishoid</t>
  </si>
  <si>
    <t>Muu tervishoid, sh tervishoiu haldamine</t>
  </si>
  <si>
    <t>Tervishoid kokku</t>
  </si>
  <si>
    <t>Vaba aeg, kultuur ja religioon</t>
  </si>
  <si>
    <t>Sport</t>
  </si>
  <si>
    <t>Vabaaeg, kultuur ja religioon</t>
  </si>
  <si>
    <t>Haridus</t>
  </si>
  <si>
    <t>Noorsootöö ja noortekeskused</t>
  </si>
  <si>
    <t>Sotsiaalne kaitse</t>
  </si>
  <si>
    <t>Vaba aja üritused</t>
  </si>
  <si>
    <t>Raamatukogud</t>
  </si>
  <si>
    <t>Ulvi Raamatukogu</t>
  </si>
  <si>
    <t>Laekvere Raamatukogu</t>
  </si>
  <si>
    <t>Rahvakultuur</t>
  </si>
  <si>
    <t>Tudu Rahvamaja</t>
  </si>
  <si>
    <t>Laekvere Rahvamaja</t>
  </si>
  <si>
    <t>Venevere Seltsimaja</t>
  </si>
  <si>
    <t>Ulvi Klubi</t>
  </si>
  <si>
    <t>Muuseumid</t>
  </si>
  <si>
    <t>Vinni Vallamuuseum</t>
  </si>
  <si>
    <t>Ringhäälingu- ja kirjastamisteenused</t>
  </si>
  <si>
    <t>Muu vaba aeg, kultuur, religioon, sh haldus</t>
  </si>
  <si>
    <t>Vaba aeg, kultuur ja religioon kokku</t>
  </si>
  <si>
    <t>Alusharidus</t>
  </si>
  <si>
    <t>Põhihariduse otsekulud</t>
  </si>
  <si>
    <t xml:space="preserve"> Põlula kool</t>
  </si>
  <si>
    <t>Muuga-Laekvere Kool</t>
  </si>
  <si>
    <t>Üldkeskhariduse otsekulud</t>
  </si>
  <si>
    <t>Noorte huviharidus ja huvitegevus</t>
  </si>
  <si>
    <t>Koolitransport</t>
  </si>
  <si>
    <t>Öömaja</t>
  </si>
  <si>
    <t>Muu haridus, sh hariduse haldus</t>
  </si>
  <si>
    <t>Haridus kokku</t>
  </si>
  <si>
    <t>Haigete sotsiaalne kaitse</t>
  </si>
  <si>
    <t>Puuetega inimeste sotsiaalhoolekandeasutused</t>
  </si>
  <si>
    <t>Muu puuetega inimeste sotsiaalne kaitse</t>
  </si>
  <si>
    <t>Eakate sotsiaalhoolekande asutused</t>
  </si>
  <si>
    <t>Muu eakate sotsiaalne kaitse</t>
  </si>
  <si>
    <t>Laste ja noorte sotsiaalhoolekande asutused</t>
  </si>
  <si>
    <t>Muu perekondade ja laste sotsiaalne kaitse</t>
  </si>
  <si>
    <t>Töötute sotsiaalne kaitse</t>
  </si>
  <si>
    <t>Eluasemeteenused sotsiaalsetele riskirühmadele</t>
  </si>
  <si>
    <t>Riiklik toimetulekutoetus</t>
  </si>
  <si>
    <t>Muu sotsiaalsete riskirühmade kaitse</t>
  </si>
  <si>
    <t>Muu sotsiaalne kaitse, sh sotsiaalse kaitse haldus</t>
  </si>
  <si>
    <t>Sotsiaalne kaitse kokku</t>
  </si>
  <si>
    <t>Põhitegevuse kulude ja investeerimistegevuse väljaminekute jaotus tegevusalade järgi kokku</t>
  </si>
  <si>
    <t>Muud näitajad</t>
  </si>
  <si>
    <t>Aasta alguse seisuga</t>
  </si>
  <si>
    <t>Võlakohustused</t>
  </si>
  <si>
    <t>Likviidsed varad</t>
  </si>
  <si>
    <t>Perioodi lõpu seisuga</t>
  </si>
  <si>
    <t>Netovõlakoormus:</t>
  </si>
  <si>
    <t>Vinni Päevakeskus</t>
  </si>
  <si>
    <t>1020004</t>
  </si>
  <si>
    <t>84</t>
  </si>
  <si>
    <t>2</t>
  </si>
  <si>
    <t>Koolituskulud (sh koolituslähetus)</t>
  </si>
  <si>
    <t>Kommunikatsiooni-, kultuuri- ja vaba aja sisustamise kulud</t>
  </si>
  <si>
    <t>Kinnistute, hoonete ja ruumide majandamiskulud</t>
  </si>
  <si>
    <t>Korrashoiuvahendid</t>
  </si>
  <si>
    <t>Administreerimiskulud</t>
  </si>
  <si>
    <t>Ulvi Kodu</t>
  </si>
  <si>
    <t>1020002</t>
  </si>
  <si>
    <t>82</t>
  </si>
  <si>
    <t>Küte ja soojusenergia</t>
  </si>
  <si>
    <t>Elekter</t>
  </si>
  <si>
    <t>Vesi ja kanalisatsioon</t>
  </si>
  <si>
    <t>Meditsiinikulud ja hügieenikulud</t>
  </si>
  <si>
    <t>Sotsiaalteenused</t>
  </si>
  <si>
    <t>Eri- ja vormiriietus (va kaitseotstarbelised kulud)</t>
  </si>
  <si>
    <t>Töötajate töötasu</t>
  </si>
  <si>
    <t>Hooldajad</t>
  </si>
  <si>
    <t>TVL - töövõtu lepingud</t>
  </si>
  <si>
    <t>Koristaja asendaja</t>
  </si>
  <si>
    <t>TÖÖJÕUKULUDEGA KAASNEVAD MAKSUD JA SOTSIAALKINDLUSTUSMAKSED</t>
  </si>
  <si>
    <t>Interneti püsiühendus Andigo</t>
  </si>
  <si>
    <t>Toiduained ja toitlustusteenused</t>
  </si>
  <si>
    <t>Inventari majandamiskulud</t>
  </si>
  <si>
    <t>Riidekapp</t>
  </si>
  <si>
    <t>Voodipesu</t>
  </si>
  <si>
    <t>Voodikapp lauaga</t>
  </si>
  <si>
    <t>Tammiku Kodu</t>
  </si>
  <si>
    <t>1020001</t>
  </si>
  <si>
    <t>81</t>
  </si>
  <si>
    <t>Hooldajate asendajad</t>
  </si>
  <si>
    <t>Lilled</t>
  </si>
  <si>
    <t>Prügivedu (Jäätmekeskus)</t>
  </si>
  <si>
    <t>Prügikonteineri rent (Ragn-Sells)</t>
  </si>
  <si>
    <t>Kahjuritõrje (Rentokil)</t>
  </si>
  <si>
    <t>Sõidukite majandamiskulud</t>
  </si>
  <si>
    <t>Muud sõidukitega seotud kulud</t>
  </si>
  <si>
    <t>Sotsiaalteenused (transport jms)</t>
  </si>
  <si>
    <t>Korstnapühkimisteenus</t>
  </si>
  <si>
    <t>Ventilatsiooni hooldus</t>
  </si>
  <si>
    <t>Mitmesugused majanduskulud</t>
  </si>
  <si>
    <t>Muuga Spordihoone</t>
  </si>
  <si>
    <t>0810202</t>
  </si>
  <si>
    <t>71</t>
  </si>
  <si>
    <t>Mitmesugused majanduskulud - siseruumide koristusvahendid, lapid, mopid, wc, kogu keemia, koristatav pind on päris suur. õues murureha, roundup mürk äärekividel, töövahendid ja kindad</t>
  </si>
  <si>
    <t>Inventari majandamiskulud, sulgpalli reketite keelestus, reketite teibid, purunenud reketite asendus. jõusaali masinate hooldus (koormuslindid ja jooksuraja lindi õlid), igasugused spordivahendid - pallid (sulgpall, võrkpall, korvpall)</t>
  </si>
  <si>
    <t>0820301</t>
  </si>
  <si>
    <t>68</t>
  </si>
  <si>
    <t>Giljotiin</t>
  </si>
  <si>
    <t>Tahmakassetid</t>
  </si>
  <si>
    <t>Spordikulude hüvitamine</t>
  </si>
  <si>
    <t xml:space="preserve">Prillide kompensatsioon </t>
  </si>
  <si>
    <t>0820206</t>
  </si>
  <si>
    <t>67</t>
  </si>
  <si>
    <t>Lilled hoone juurde</t>
  </si>
  <si>
    <t>Töötervishoiuarsti visiit</t>
  </si>
  <si>
    <t>Korrashoiuvahendid (puhastusvahendid, väike elektritööd jms)</t>
  </si>
  <si>
    <t>Kanalisatsiooni tühjendus</t>
  </si>
  <si>
    <t>Küttepuud</t>
  </si>
  <si>
    <t>Isikliku sõiduauto kompensatsioonid</t>
  </si>
  <si>
    <t>Esindus - ja vastuvõtu kulud</t>
  </si>
  <si>
    <t>0820207</t>
  </si>
  <si>
    <t>66</t>
  </si>
  <si>
    <t>Ringijuhid</t>
  </si>
  <si>
    <t>Tulekustutite kontroll, hooldus</t>
  </si>
  <si>
    <t>Tantsupeo osalustasu</t>
  </si>
  <si>
    <t>Roela Rahvamaja</t>
  </si>
  <si>
    <t>0820203</t>
  </si>
  <si>
    <t>64</t>
  </si>
  <si>
    <t>Sideteenused (Telia)</t>
  </si>
  <si>
    <t>Käelise tegevuse asjad,markerid,paberid,liim,värvid,rekvisiit,lilled</t>
  </si>
  <si>
    <t>Prožektorid, kõlarite juhtmed</t>
  </si>
  <si>
    <t>Pajusti klubi</t>
  </si>
  <si>
    <t>0820202</t>
  </si>
  <si>
    <t>63</t>
  </si>
  <si>
    <t>Telefon, internet</t>
  </si>
  <si>
    <t>Toetused MTÜ-le</t>
  </si>
  <si>
    <t>0810904</t>
  </si>
  <si>
    <t>Antud sihtfinantseerimine tegevuskuludeks</t>
  </si>
  <si>
    <t>0820205</t>
  </si>
  <si>
    <t>62</t>
  </si>
  <si>
    <t>Ringijuht "Pärlike"</t>
  </si>
  <si>
    <t>Reklaamplakatid</t>
  </si>
  <si>
    <t>Toonerid</t>
  </si>
  <si>
    <t>Pisiremondid, vahendid, mis eelpool nimetamata</t>
  </si>
  <si>
    <t>Elektritööd Rahvamajas</t>
  </si>
  <si>
    <t>Kadila Seltsimaja</t>
  </si>
  <si>
    <t>0820201</t>
  </si>
  <si>
    <t>61</t>
  </si>
  <si>
    <t>Telia</t>
  </si>
  <si>
    <t>Korrashoiuvahendid jms</t>
  </si>
  <si>
    <t>0820102</t>
  </si>
  <si>
    <t>Viru-Jaagupi Raamatukogu</t>
  </si>
  <si>
    <t>58</t>
  </si>
  <si>
    <t>Teavikute ja kunstiesemete kulud</t>
  </si>
  <si>
    <t>0820101</t>
  </si>
  <si>
    <t>Vinni Raamatukogu</t>
  </si>
  <si>
    <t>57</t>
  </si>
  <si>
    <t>Perioodika</t>
  </si>
  <si>
    <t>0820105</t>
  </si>
  <si>
    <t>55</t>
  </si>
  <si>
    <t>Bürootarbed</t>
  </si>
  <si>
    <t>0820104</t>
  </si>
  <si>
    <t>Tudu Raamatukogu</t>
  </si>
  <si>
    <t>54</t>
  </si>
  <si>
    <t>0820103</t>
  </si>
  <si>
    <t>Roela Raamatukogu</t>
  </si>
  <si>
    <t>53</t>
  </si>
  <si>
    <t>0820106</t>
  </si>
  <si>
    <t>51</t>
  </si>
  <si>
    <t>perioodika</t>
  </si>
  <si>
    <t>Vinni-Pajusti Gümnaasium</t>
  </si>
  <si>
    <t>0921205</t>
  </si>
  <si>
    <t>Vinni pajusti Gümnaasium</t>
  </si>
  <si>
    <t>45</t>
  </si>
  <si>
    <t>Kütus</t>
  </si>
  <si>
    <t>Kindlustus</t>
  </si>
  <si>
    <t>Õppevahendite ja koolituse kulud</t>
  </si>
  <si>
    <t>Tudu kool</t>
  </si>
  <si>
    <t>0921204</t>
  </si>
  <si>
    <t>44</t>
  </si>
  <si>
    <t>Tudu Lasteaed</t>
  </si>
  <si>
    <t>0911004</t>
  </si>
  <si>
    <t>Roela Õpilaskodu</t>
  </si>
  <si>
    <t>0960201</t>
  </si>
  <si>
    <t>Roela kool</t>
  </si>
  <si>
    <t>43</t>
  </si>
  <si>
    <t>Seadmete remondid</t>
  </si>
  <si>
    <t>0921203</t>
  </si>
  <si>
    <t>Veebimajutus</t>
  </si>
  <si>
    <t>Printeripaber</t>
  </si>
  <si>
    <t>Söökla ventilatsiooni puhastus</t>
  </si>
  <si>
    <t>Söökla uhteproovid, vee analüüsid</t>
  </si>
  <si>
    <t>Pisiremonttööd</t>
  </si>
  <si>
    <t>Haridusserver</t>
  </si>
  <si>
    <t>Esmaabivahendid</t>
  </si>
  <si>
    <t>Õpilaste premeerimine saavutuste puhul</t>
  </si>
  <si>
    <t>Lilled ürituste dekoreerimiseks</t>
  </si>
  <si>
    <t>Spordipäevade auhinnad</t>
  </si>
  <si>
    <t>Roela Lasteaed</t>
  </si>
  <si>
    <t>0911007</t>
  </si>
  <si>
    <t>0921208</t>
  </si>
  <si>
    <t>41</t>
  </si>
  <si>
    <t>Ulvi Lasteaed</t>
  </si>
  <si>
    <t>0911005</t>
  </si>
  <si>
    <t>35</t>
  </si>
  <si>
    <t>Kokk Lasteaia ülesannetes</t>
  </si>
  <si>
    <t>Majandusjuhataja Lasteaia ülesannetes</t>
  </si>
  <si>
    <t>Üritused</t>
  </si>
  <si>
    <t>Pesu pesemine</t>
  </si>
  <si>
    <t>Laekvere Lasteaed</t>
  </si>
  <si>
    <t>0911006</t>
  </si>
  <si>
    <t>34</t>
  </si>
  <si>
    <t>Pajusti Lasteaed</t>
  </si>
  <si>
    <t>0911002</t>
  </si>
  <si>
    <t>33</t>
  </si>
  <si>
    <t>Kulina Lasteaed</t>
  </si>
  <si>
    <t>0911003</t>
  </si>
  <si>
    <t>32</t>
  </si>
  <si>
    <t>Täheke tellimus</t>
  </si>
  <si>
    <t>Õpetajate lehe tellimus</t>
  </si>
  <si>
    <t>Puhastussool veefiltrile</t>
  </si>
  <si>
    <t>Turvavalgustus, elektritööd</t>
  </si>
  <si>
    <t>Logopeed</t>
  </si>
  <si>
    <t>Õppekäigud, üritused</t>
  </si>
  <si>
    <t>Asendamised</t>
  </si>
  <si>
    <t>Vinni Lasteaed</t>
  </si>
  <si>
    <t>0911001</t>
  </si>
  <si>
    <t>31</t>
  </si>
  <si>
    <t>ELIIS</t>
  </si>
  <si>
    <t>ANC Toitlustusprogrammi arendus- ja hooldustasu</t>
  </si>
  <si>
    <t>Muud admin.kulud</t>
  </si>
  <si>
    <t>0660511</t>
  </si>
  <si>
    <t>290</t>
  </si>
  <si>
    <t>Kohaliku omavalitsuse teenusportaali kasutamine</t>
  </si>
  <si>
    <t>Võrgulepingute 6 kuu optimeerimise leping</t>
  </si>
  <si>
    <t>Korstnapühkimisteenus, katlamaja hooldus</t>
  </si>
  <si>
    <t>Suvelilled, istikud</t>
  </si>
  <si>
    <t>Sotsiaalkorterite remont</t>
  </si>
  <si>
    <t>Remonditööline</t>
  </si>
  <si>
    <t>Heakorratööline</t>
  </si>
  <si>
    <t>0660510</t>
  </si>
  <si>
    <t>280</t>
  </si>
  <si>
    <t>Niitmine jm teenused (Salin)</t>
  </si>
  <si>
    <t>ATS hooldus (G4S)</t>
  </si>
  <si>
    <t>Roela kooli tuletõrje veehoidla hooldus (Tuletõrje selts)</t>
  </si>
  <si>
    <t>Kütus seadmetele</t>
  </si>
  <si>
    <t>Lepingulised (Eigi)</t>
  </si>
  <si>
    <t>Betoonist lillepotid</t>
  </si>
  <si>
    <t>Sportimiskulude hüvitamine</t>
  </si>
  <si>
    <t>Kalmistud</t>
  </si>
  <si>
    <t>0660508</t>
  </si>
  <si>
    <t>Liiv kalmistule</t>
  </si>
  <si>
    <t>Heakorravahendid (kärud, rehad, kastekannud jms)</t>
  </si>
  <si>
    <t>Saunad</t>
  </si>
  <si>
    <t>0660507</t>
  </si>
  <si>
    <t>0660501</t>
  </si>
  <si>
    <t>27</t>
  </si>
  <si>
    <t>Sõidukite hooldus, remont, varuosad</t>
  </si>
  <si>
    <t>Kändude freesimine, ohtlike puude langetus</t>
  </si>
  <si>
    <t>Korterite remondimaterjalid</t>
  </si>
  <si>
    <t>Halduse tagatavad kulud</t>
  </si>
  <si>
    <t>0980004</t>
  </si>
  <si>
    <t>Haridusteenistus</t>
  </si>
  <si>
    <t>25</t>
  </si>
  <si>
    <t>Haldus</t>
  </si>
  <si>
    <t>0980003</t>
  </si>
  <si>
    <t>Eripedagoogi töövahendid</t>
  </si>
  <si>
    <t>Koolitused haridusmetoodik, eripedagoog</t>
  </si>
  <si>
    <t>0980002</t>
  </si>
  <si>
    <t>Traditsioonilised üritused</t>
  </si>
  <si>
    <t>Projektide kaasfinantseerimised</t>
  </si>
  <si>
    <t>Huvihariduse/ -tegevuse kompensatsioonid</t>
  </si>
  <si>
    <t>095103</t>
  </si>
  <si>
    <t>Muusikakoolide kohatasud</t>
  </si>
  <si>
    <t>095102</t>
  </si>
  <si>
    <t>Huviringide personalikulud ja õppevahendid</t>
  </si>
  <si>
    <t>095101</t>
  </si>
  <si>
    <t>0921302</t>
  </si>
  <si>
    <t>HEV kohatasud/õpilaskodu</t>
  </si>
  <si>
    <t>0921209</t>
  </si>
  <si>
    <t>Põhikooli kohatasud</t>
  </si>
  <si>
    <t>0921206</t>
  </si>
  <si>
    <t>Kohatasud</t>
  </si>
  <si>
    <t>0911008</t>
  </si>
  <si>
    <t>10900</t>
  </si>
  <si>
    <t>Sotsiaalteenistus</t>
  </si>
  <si>
    <t>24</t>
  </si>
  <si>
    <t>10702</t>
  </si>
  <si>
    <t>Vältimatu sotsiaalabi</t>
  </si>
  <si>
    <t>Erakorraline toetus</t>
  </si>
  <si>
    <t>Rakvere Kodutute Varjupaik - teenuse ost</t>
  </si>
  <si>
    <t>Varjupaik + Naiste Varjupaik</t>
  </si>
  <si>
    <t>Riskirühmade sotsiaalhoolekandeasutused</t>
  </si>
  <si>
    <t>10700</t>
  </si>
  <si>
    <t>Haapsalu, Sillamäe reha. Asutus</t>
  </si>
  <si>
    <t>10600</t>
  </si>
  <si>
    <t>10500</t>
  </si>
  <si>
    <t>Toetused töötutele</t>
  </si>
  <si>
    <t>Muud toetused</t>
  </si>
  <si>
    <t>1040208</t>
  </si>
  <si>
    <t>Ühekordsed toetused</t>
  </si>
  <si>
    <t>1040203</t>
  </si>
  <si>
    <t>L-Viru Suurte perede Ühendus tegevustoetus</t>
  </si>
  <si>
    <t>Matusetoetus</t>
  </si>
  <si>
    <t>1040202</t>
  </si>
  <si>
    <t>Matusetoetus (valla finantseering)</t>
  </si>
  <si>
    <t>Muud asutused</t>
  </si>
  <si>
    <t>1040002</t>
  </si>
  <si>
    <t>Eakate toetused</t>
  </si>
  <si>
    <t>1020102</t>
  </si>
  <si>
    <t>Täiendav ravimite hüvitamine</t>
  </si>
  <si>
    <t>1020101</t>
  </si>
  <si>
    <t>Erivajadustega inimeste tugiteenus</t>
  </si>
  <si>
    <t>1012105</t>
  </si>
  <si>
    <t>Hoolekandeteenused AS</t>
  </si>
  <si>
    <t>Muud</t>
  </si>
  <si>
    <t>1012104</t>
  </si>
  <si>
    <t>Toetused puudega inimestele ja nende hooldajatele</t>
  </si>
  <si>
    <t>Muud puuetega inimestega seotud teenused (viipekeele tõlk, sõidukulude komp., toetus ravimitele jne)</t>
  </si>
  <si>
    <t>1012102</t>
  </si>
  <si>
    <t>Toetused puudega inimestele ja nende hooldajatele - transport</t>
  </si>
  <si>
    <t>10120</t>
  </si>
  <si>
    <t>10110</t>
  </si>
  <si>
    <t>07600</t>
  </si>
  <si>
    <t>Eakate ujumise transport</t>
  </si>
  <si>
    <t>01112</t>
  </si>
  <si>
    <t>Finantsteenistus</t>
  </si>
  <si>
    <t>23</t>
  </si>
  <si>
    <t>05100</t>
  </si>
  <si>
    <t>Majandusteenistus</t>
  </si>
  <si>
    <t>22</t>
  </si>
  <si>
    <t>04900</t>
  </si>
  <si>
    <t>Sideteenused</t>
  </si>
  <si>
    <t>Maade mõõdistamised</t>
  </si>
  <si>
    <t>Vinni Valla Noored MTÜ</t>
  </si>
  <si>
    <t>0810705</t>
  </si>
  <si>
    <t>Noorsootöö koordineerimine</t>
  </si>
  <si>
    <t>217</t>
  </si>
  <si>
    <t>Tegevustoetus</t>
  </si>
  <si>
    <t>Lastelaagrid</t>
  </si>
  <si>
    <t>0810704</t>
  </si>
  <si>
    <t>Teede remont</t>
  </si>
  <si>
    <t>0451002</t>
  </si>
  <si>
    <t>Teede- ja ühistranspordinõunik</t>
  </si>
  <si>
    <t>216</t>
  </si>
  <si>
    <t>Rajatiste majandamiskulud</t>
  </si>
  <si>
    <t>04600</t>
  </si>
  <si>
    <t>IT-spetsialist</t>
  </si>
  <si>
    <t>214</t>
  </si>
  <si>
    <t>IT vahendid (hiir, klaviatuur, monitor jms)</t>
  </si>
  <si>
    <t>Side reserv</t>
  </si>
  <si>
    <t>Sporditegevuse haldus</t>
  </si>
  <si>
    <t>0810209</t>
  </si>
  <si>
    <t>Spordinõunik</t>
  </si>
  <si>
    <t>213</t>
  </si>
  <si>
    <t>Spordiseltside- ja klubide toetused MTÜ</t>
  </si>
  <si>
    <t>0810208</t>
  </si>
  <si>
    <t>0810205</t>
  </si>
  <si>
    <t>Staadion</t>
  </si>
  <si>
    <t>0810203</t>
  </si>
  <si>
    <t>Kultuuri projektide kaasfinantseerimised</t>
  </si>
  <si>
    <t>0810908</t>
  </si>
  <si>
    <t>kultuuri-ja avalike suhete nõunik</t>
  </si>
  <si>
    <t>212</t>
  </si>
  <si>
    <t>01600</t>
  </si>
  <si>
    <t>Vallasekretär</t>
  </si>
  <si>
    <t>Valla üritused</t>
  </si>
  <si>
    <t>0810903</t>
  </si>
  <si>
    <t>03200</t>
  </si>
  <si>
    <t>01114</t>
  </si>
  <si>
    <t>Reservfond</t>
  </si>
  <si>
    <t>Printeri kasutus (Overall)</t>
  </si>
  <si>
    <t>Akvaariumitarbed</t>
  </si>
  <si>
    <t>Muud inventari vajadused</t>
  </si>
  <si>
    <t>Lähetuskulud (v.a koolituslähetus)</t>
  </si>
  <si>
    <t>MAKSU-, LÕIVU-, TRAHVIKULUD</t>
  </si>
  <si>
    <t>Juubelipreemia</t>
  </si>
  <si>
    <t>Perenaine</t>
  </si>
  <si>
    <t>Isikliku sõiduauto kompensatsioonid (perenaine)</t>
  </si>
  <si>
    <t>Vinni Perekodu</t>
  </si>
  <si>
    <t>1040001</t>
  </si>
  <si>
    <t>83</t>
  </si>
  <si>
    <t>Majandusjuhataja</t>
  </si>
  <si>
    <t>Juhataja</t>
  </si>
  <si>
    <t>Juhiabi</t>
  </si>
  <si>
    <t>Peugeot Traveller liisingmaksed</t>
  </si>
  <si>
    <t>Puhkuseasendaja 3 in</t>
  </si>
  <si>
    <t>Postikulu</t>
  </si>
  <si>
    <t>Prügivedu</t>
  </si>
  <si>
    <t>Taskurahad</t>
  </si>
  <si>
    <t>Koristaja</t>
  </si>
  <si>
    <t>Kokk</t>
  </si>
  <si>
    <t>Majahoidja</t>
  </si>
  <si>
    <t>Isikliku sõiduauto kompensatsioonid (juhataja)</t>
  </si>
  <si>
    <t>Hooldustöötaja</t>
  </si>
  <si>
    <t>Hooldaja</t>
  </si>
  <si>
    <t>Vinni Spordikompleks</t>
  </si>
  <si>
    <t>0810201</t>
  </si>
  <si>
    <t>73</t>
  </si>
  <si>
    <t>Remondi- ja hooldetööde teenus vastavalt lepingule (Ennak Sel)</t>
  </si>
  <si>
    <t>Vesi ja kanalisatsioon (Emajõe Veevärk)</t>
  </si>
  <si>
    <t>Hoolde- ja remonditööde teenus vastavalt lepingule (Ennak Sel)</t>
  </si>
  <si>
    <t>Põranda lihvimine, õlitamine</t>
  </si>
  <si>
    <t>Maakütte hooldus</t>
  </si>
  <si>
    <t>Vesi ja kanalisatsioon (Saku Läte)</t>
  </si>
  <si>
    <t>Prügivedu (Lääne-Viru Jäätmekeskus)</t>
  </si>
  <si>
    <t>Veefiltri hooldus (Virumaa Veepumbakeskus)</t>
  </si>
  <si>
    <t>Automaatse tulekahjusignalisatsiooni lepingutasu (U.K.V)</t>
  </si>
  <si>
    <t>Prügikonteinerite rent (Lääne-Viru Jäätmekeskus)</t>
  </si>
  <si>
    <t>Klubide koordineerija lisatasu</t>
  </si>
  <si>
    <t>Porivaipade rent (Linström)</t>
  </si>
  <si>
    <t>Urania tarkvara hooldusleping</t>
  </si>
  <si>
    <t>Raamatute tellimise reserv (juhul, kui vajadus osta väljast poolt Rakvere Linnavalitsust)</t>
  </si>
  <si>
    <t>Porivaipade rent (Lindström)</t>
  </si>
  <si>
    <t>Raamatukoguhoidja</t>
  </si>
  <si>
    <t>Direktor</t>
  </si>
  <si>
    <t>Raamatukogude koordineerija lisatasu</t>
  </si>
  <si>
    <t>Järelmaksuga arvutid</t>
  </si>
  <si>
    <t>Isikliku sõiduauto kompensatsioonid (raamatukoguhoidja)</t>
  </si>
  <si>
    <t>12</t>
  </si>
  <si>
    <t>0921301</t>
  </si>
  <si>
    <t>E-kool</t>
  </si>
  <si>
    <t>Häire teenus 112 (USS)</t>
  </si>
  <si>
    <t>Kohustuslik ujumise algõpe</t>
  </si>
  <si>
    <t>Prügikonteineri rent (Lääne-Viru Jäätmekeskus)</t>
  </si>
  <si>
    <t>Tehnilise valve leping (G4S)</t>
  </si>
  <si>
    <t>Käiduteenuste leping (KH Energia Konsult)</t>
  </si>
  <si>
    <t>Koolipsühholoog</t>
  </si>
  <si>
    <t>Lasketiiru meister</t>
  </si>
  <si>
    <t>Köögitööline</t>
  </si>
  <si>
    <t>Õpetaja abi (M.Kuusik)</t>
  </si>
  <si>
    <t>Võrguadministraator</t>
  </si>
  <si>
    <t>Infojuht</t>
  </si>
  <si>
    <t>Abitööline</t>
  </si>
  <si>
    <t>Juhataja-kokk</t>
  </si>
  <si>
    <t>Valvur-majahoidja</t>
  </si>
  <si>
    <t>Sekretär</t>
  </si>
  <si>
    <t>Sotsiaalpedagoog</t>
  </si>
  <si>
    <t>Logopeed+lisatasu</t>
  </si>
  <si>
    <t>Haridustehnoloog</t>
  </si>
  <si>
    <t>Isikliku sõiduauto kompensatsioonid (S. Reimets)</t>
  </si>
  <si>
    <t>Isikliku sõiduauto kompensatsioonid (A.Toiger)</t>
  </si>
  <si>
    <t>Škoda liisingmaksed</t>
  </si>
  <si>
    <t>Kindlustus bussile</t>
  </si>
  <si>
    <t>Kaskokindlustus bussile</t>
  </si>
  <si>
    <t>Kodulehe majutus tudu.edu.ee</t>
  </si>
  <si>
    <t>Bussi liisingmaksed</t>
  </si>
  <si>
    <t>Aednik</t>
  </si>
  <si>
    <t>Remondimees käsunduslepinguga 4 x aastas</t>
  </si>
  <si>
    <t>Õpetaja</t>
  </si>
  <si>
    <t>Õpetaja abi</t>
  </si>
  <si>
    <t>Kommunaalkulud</t>
  </si>
  <si>
    <t>Prügikonteinerite rent (Ragn-Sells)</t>
  </si>
  <si>
    <t>Kahjuritõrje lepingumakse (Rentokil)</t>
  </si>
  <si>
    <t>Spordirajatiste meister</t>
  </si>
  <si>
    <t>Pikapäevarühma lisatasu</t>
  </si>
  <si>
    <t>Noorsootöötaja</t>
  </si>
  <si>
    <t>Psühholoog</t>
  </si>
  <si>
    <t>Isikliku sõiduauto kompensatsioonid (majandusjuhataja)</t>
  </si>
  <si>
    <t>Isikliku sõiduauto kompensatsioonid (U. Kruusimägi)</t>
  </si>
  <si>
    <t>Isikliku sõiduauto kompensatsioonid (H.Supper)</t>
  </si>
  <si>
    <t>Isikliku sõiduauto kompensatsioonid (noorsootöötaja)</t>
  </si>
  <si>
    <t>Isikliku sõiduauto kompensatsioonid (direktor)</t>
  </si>
  <si>
    <t>Roela Põhikooli automaatse tulekahjusignalisatsiooni korraline hooldusleping (U.K.V)</t>
  </si>
  <si>
    <t>E-kool (Telia)</t>
  </si>
  <si>
    <t>Liikumisõpetaja</t>
  </si>
  <si>
    <t>Muusikaõpetaja</t>
  </si>
  <si>
    <t>Õpetajate toa mobiiltelefon (Tele2)</t>
  </si>
  <si>
    <t>Prügivedu, konteineri rent (Ragn-Sells)</t>
  </si>
  <si>
    <t>Muuga-Laekvere Kool - Stuudium e-päevik</t>
  </si>
  <si>
    <t>Hoolde- ja remonditööde teenuse leping (Ennak Sel)</t>
  </si>
  <si>
    <t>Toitlustusprogrammi arendus- ja hooldustasu (ANC)</t>
  </si>
  <si>
    <t>Eripedagoog-logopeed</t>
  </si>
  <si>
    <t>Isikliku sõiduauto kompensatsioonid (P. Lumiste)</t>
  </si>
  <si>
    <t>Isikliku sõiduauto kompensatsioonid (sotsiaalpedagoog)</t>
  </si>
  <si>
    <t>Liikmemaksud</t>
  </si>
  <si>
    <t>Käiduteenus (KH Energia Konsult)</t>
  </si>
  <si>
    <t>Majahoidja-koristaja</t>
  </si>
  <si>
    <t>Isikliku sõiduauto kompensatsioonid (aednik)</t>
  </si>
  <si>
    <t>Päikesepargi hooldus</t>
  </si>
  <si>
    <t>Vanemõpetaja</t>
  </si>
  <si>
    <t>Õpetaja 5in</t>
  </si>
  <si>
    <t>Õpetaja (magister) 6 in.</t>
  </si>
  <si>
    <t>Kokku</t>
  </si>
  <si>
    <t>Õpetaja abi 6in</t>
  </si>
  <si>
    <t>Valveteenus</t>
  </si>
  <si>
    <t>Haldusjuht</t>
  </si>
  <si>
    <t>VINNI VALD, VINNI ALEVIK, KIIGE TN 2 KORTERIÜHISTU kommunaalkulud</t>
  </si>
  <si>
    <t>VINNI VALD, VINNI ALEVIK, SÕPRUSE TN 6 KORTERIÜHISTU kommunaalkulud</t>
  </si>
  <si>
    <t>KÜ PAJU kommunaalkulud</t>
  </si>
  <si>
    <t>VINNI VALD, PAJUSTI ALEVIK, LINNU TN 1 KORTERIÜHISTU kommunaalkulud</t>
  </si>
  <si>
    <t>Sidekulud (Telia)</t>
  </si>
  <si>
    <t>VINNI VALD, VINNI ALEVIK, SÕPRUSE TN 3 KORTERIÜHISTU kommunaalkulud</t>
  </si>
  <si>
    <t>Interneti püsiühendus (Andigo)</t>
  </si>
  <si>
    <t>1 staatiline  IP aadress (NAT), kuutasu (Telia) - Kortermänguväljaku kaamerate internet</t>
  </si>
  <si>
    <t>VINNI VALD, VINNI ALEVIK, KIIGE TN 5 KORTERIÜHISTU kommunaalkulud</t>
  </si>
  <si>
    <t>Seadmete rent vallamaja ja perearstikeskus (Skarabeus Julgestusteenistus)</t>
  </si>
  <si>
    <t>KÜ Tiigi 5 kommunaalkulud</t>
  </si>
  <si>
    <t>KORTERIÜHISTU ULVI ALLIKAS kommunaalkulud</t>
  </si>
  <si>
    <t>Aruandeteenuse kuutasu (Metrotec)</t>
  </si>
  <si>
    <t>Isikliku sõiduauto kompensatsioonid (M.Keskküla)</t>
  </si>
  <si>
    <t>Muude isikute töötasud</t>
  </si>
  <si>
    <t>Korrakaitsjad</t>
  </si>
  <si>
    <t>Koristaja-saunakütja</t>
  </si>
  <si>
    <t>Tudu katlakütja</t>
  </si>
  <si>
    <t>Tudu kütja</t>
  </si>
  <si>
    <t>Roela heakorratööline</t>
  </si>
  <si>
    <t>Vesi ja kanalisatsioon Viru-Jaagupi (Emajõe Veevärk)</t>
  </si>
  <si>
    <t>Vinni vald, Viru-Jaagupi alevik, Kaasiku tn 7 korteriühistu kommunaalkulud</t>
  </si>
  <si>
    <t>VINNI VALD, VIRU-JAAGUPI ALEVIK, KAASIKU TN 5 KORTERIÜHISTU kommunaalkulud</t>
  </si>
  <si>
    <t>KORTERIÜHISTU ROELA JÄRVE kommunaakulud</t>
  </si>
  <si>
    <t>VINNI VALD, ROELA ALEVIK, VESKIKAARE TN 3 KORTERIÜHISTU kommunaalkulud</t>
  </si>
  <si>
    <t>KÜ Roela Mets kommunaalkulud</t>
  </si>
  <si>
    <t>Internet (Telia)</t>
  </si>
  <si>
    <t>Rakvere Tõrma kalmistu</t>
  </si>
  <si>
    <t>Kalmistuvaht</t>
  </si>
  <si>
    <t>Kalmistumajanduse infosüsteemi Haudi rent</t>
  </si>
  <si>
    <t>Välikäimlad</t>
  </si>
  <si>
    <t>Simuna kalmistu haldamine</t>
  </si>
  <si>
    <t>Tudu sauna kütja</t>
  </si>
  <si>
    <t>Heakorra ja remonditööline</t>
  </si>
  <si>
    <t>Traktorist-majandustööline</t>
  </si>
  <si>
    <t>Peugeot liisingmaksed</t>
  </si>
  <si>
    <t>Hoolde- ja remonditööd vastavalt hoolduslepingule  (Ennak Sel AS)</t>
  </si>
  <si>
    <t>Transport (M.K.Reis-x teenindatav reedene Venevere-Paasvere-Vassivere poe liin,surnuaaipühal ja jõululaupäeval buss Simuna surnuaiale(FIE Teet Põldoja)</t>
  </si>
  <si>
    <t>Paberikonteinerite tühjendus (Väätsa Prügila)</t>
  </si>
  <si>
    <t>Lindström vaibad</t>
  </si>
  <si>
    <t>Elisa Teleteenused korterites</t>
  </si>
  <si>
    <t>Vassivere põik 4 KÜ kommunaalkulud</t>
  </si>
  <si>
    <t>VINNI VALD, LAEKVERE ALEVIK, VASSIVERE PÕIK 3 KORTERIÜHISTU kommunaalkulud</t>
  </si>
  <si>
    <t>Vassivere põik 1 KÜ kommunaalkulud</t>
  </si>
  <si>
    <t>Isikliku sõiduauto kompensatsioonid (alushariduse metoodik)</t>
  </si>
  <si>
    <t>Isikliku sõiduauto kompensatsioonid (alushariduse eripedagoog)</t>
  </si>
  <si>
    <t>Alushariduse eripedagoog</t>
  </si>
  <si>
    <t>Haridusnõunik</t>
  </si>
  <si>
    <t>Alushariduse metoodik</t>
  </si>
  <si>
    <t>Isikliku sõiduauto kompensatsioonid (haridusnõunik)</t>
  </si>
  <si>
    <t>Väike-Maarja Muusikakool</t>
  </si>
  <si>
    <t>Rakvere Muusikakool</t>
  </si>
  <si>
    <t>Fordi liisingmaksed (10 kuud) + uus sama kuumaksega</t>
  </si>
  <si>
    <t>Sotsiaaltööspetsialist</t>
  </si>
  <si>
    <t>Lasteheaoluspetsialist</t>
  </si>
  <si>
    <t>Sotsiaalteenistuse juhataja</t>
  </si>
  <si>
    <t>Isikliku sõiduauto kompensatsioonid (M. Kesamaa)</t>
  </si>
  <si>
    <t>10701</t>
  </si>
  <si>
    <t>Toimetulekutoetus ja täiendavad sotsiaaltoetused</t>
  </si>
  <si>
    <t>Küttepuude toetus</t>
  </si>
  <si>
    <t>Laste kommpakid</t>
  </si>
  <si>
    <t>Tugiisikud (perekondade ja laste)</t>
  </si>
  <si>
    <t>1040207</t>
  </si>
  <si>
    <t>Psühholoog A. Rosenthal (18€x12kuudx20h)</t>
  </si>
  <si>
    <t>Sünnitoetused</t>
  </si>
  <si>
    <t>1040205</t>
  </si>
  <si>
    <t>Sünnitoetus</t>
  </si>
  <si>
    <t>Mängukarud</t>
  </si>
  <si>
    <t>Sünniteatiste kaaned</t>
  </si>
  <si>
    <t>Lusikapeo kutsed</t>
  </si>
  <si>
    <t>Lusikate graveerimisteenus</t>
  </si>
  <si>
    <t>Lusikapeo tort (2 üritustx10kg)</t>
  </si>
  <si>
    <t>Muud lusikapeo kulud (lilled, salvrätid, kommid, jms)</t>
  </si>
  <si>
    <t>Lusikad</t>
  </si>
  <si>
    <t>Ravitoetused perekondadele, lastele</t>
  </si>
  <si>
    <t>1040204</t>
  </si>
  <si>
    <t>Ühekordsed peretoetused (nt. ravimitoetused)</t>
  </si>
  <si>
    <t>Ranitsatoetus</t>
  </si>
  <si>
    <t>Ühekordsed peretoetused</t>
  </si>
  <si>
    <t>Tugiisik (M. Saar)</t>
  </si>
  <si>
    <t>Tugiisik (V. Kingsepp)</t>
  </si>
  <si>
    <t>Juubeli toetused</t>
  </si>
  <si>
    <t>1020103</t>
  </si>
  <si>
    <t>Kauplusauto (Coramy)</t>
  </si>
  <si>
    <t>Kauplusauto (VKK Kaubandus)</t>
  </si>
  <si>
    <t>Hooldustöötaja (E.Anier)</t>
  </si>
  <si>
    <t>Hooldustöötaja (M.Maalman)</t>
  </si>
  <si>
    <t>Hooldustöötaja (T.Muldma)</t>
  </si>
  <si>
    <t>1020003</t>
  </si>
  <si>
    <t>Valla eestkostel olevate eakate tasud</t>
  </si>
  <si>
    <t>Hooldajatoetused</t>
  </si>
  <si>
    <t>101212</t>
  </si>
  <si>
    <t>Puuetega laste hooldaja toetus</t>
  </si>
  <si>
    <t>Tugiisikud puuetega inimestele</t>
  </si>
  <si>
    <t>1012106</t>
  </si>
  <si>
    <t>Tugiisik (T.Raudmäe) lepinguga</t>
  </si>
  <si>
    <t>Tugiisik (M.Matsiselts)</t>
  </si>
  <si>
    <t>Tugiisiku teenus (6inx100hx5,50x10kuud) KOV kulud</t>
  </si>
  <si>
    <t>Isikliku sõiduauto kompensatsioonid (M.Matsiselts)</t>
  </si>
  <si>
    <t>Isikliku sõiduauto kompensatsioonid (T.Raudmäe)</t>
  </si>
  <si>
    <t>1012103</t>
  </si>
  <si>
    <t>Puuetega inimeste hooldaja toetused</t>
  </si>
  <si>
    <t>Erijuhtudel riigi poolt makstavad maksud</t>
  </si>
  <si>
    <t>Ravitoetused puuetega inimestele</t>
  </si>
  <si>
    <t>1012101</t>
  </si>
  <si>
    <t>Projekt "Puuetega in. Kodude kohandamine"</t>
  </si>
  <si>
    <t>Rakvere Haigla MTÜ liikmemaks</t>
  </si>
  <si>
    <t>08300</t>
  </si>
  <si>
    <t>Vinni Valla ajaleht</t>
  </si>
  <si>
    <t>Eesti Maksumaksjate Liit</t>
  </si>
  <si>
    <t>Eelarve rakenduse Veera kuutasu</t>
  </si>
  <si>
    <t>Isikliku sõiduauto kompensatsioonid sh. koolitused</t>
  </si>
  <si>
    <t>Audiitorteenus</t>
  </si>
  <si>
    <t>Finantsjuht</t>
  </si>
  <si>
    <t>Raamatupidajad</t>
  </si>
  <si>
    <t>Pearaamatupidaja</t>
  </si>
  <si>
    <t>Eesti Raamatupidajate Kogu</t>
  </si>
  <si>
    <t>Raamatupidamistarkvara hooldus San Revilo</t>
  </si>
  <si>
    <t>Hulkuvad loomad</t>
  </si>
  <si>
    <t>0660509</t>
  </si>
  <si>
    <t>Rakvere Loomade varjupaik (Rakvere Linnavalitsus)</t>
  </si>
  <si>
    <t>Lemmikloomaregister SPIN TEK</t>
  </si>
  <si>
    <t>06400</t>
  </si>
  <si>
    <t>Tänavalguste elektrikulud</t>
  </si>
  <si>
    <t>Muud tänavavalgustusega seotud kulud</t>
  </si>
  <si>
    <t>05600</t>
  </si>
  <si>
    <t>Jäätmehalduse moodul</t>
  </si>
  <si>
    <t>Jäätmekäitlus moodul (X-tee 6)</t>
  </si>
  <si>
    <t>Liitumistasu</t>
  </si>
  <si>
    <t>Ragn-Sells konteinerite laenutus</t>
  </si>
  <si>
    <t>Isikliku sõiduauto kompensatsioonid (Teede- ja ühistranspordinõunik)</t>
  </si>
  <si>
    <t>Isikliku sõiduauto kompensatsioonid (Arendusnõunik)</t>
  </si>
  <si>
    <t>Isikliku sõiduauto kompensatsioonid (Maanõunik)</t>
  </si>
  <si>
    <t>Isikliku sõiduauto kompensatsioonid (Ehitusnõunik)</t>
  </si>
  <si>
    <t>Isikliku sõiduauto kompensatsioonid (Keskkonna- ja kommunaalnõunik)</t>
  </si>
  <si>
    <t>Keskkonna- ja kommunaalnõunik</t>
  </si>
  <si>
    <t>Arendusnõunik</t>
  </si>
  <si>
    <t>Ehitusnõunik</t>
  </si>
  <si>
    <t>Maanõunik</t>
  </si>
  <si>
    <t>Muudes projektides osalemised</t>
  </si>
  <si>
    <t>0810706</t>
  </si>
  <si>
    <t>Noorte volikogu töö korraldamine, arendamine</t>
  </si>
  <si>
    <t>Valvur-majahoidja Rutjal</t>
  </si>
  <si>
    <t>Projektide kaasfinantseerimine</t>
  </si>
  <si>
    <t>0810703</t>
  </si>
  <si>
    <t>09600</t>
  </si>
  <si>
    <t>Õppetoetused</t>
  </si>
  <si>
    <t>T.A. Bussid OÜ</t>
  </si>
  <si>
    <t>Bussijuht</t>
  </si>
  <si>
    <t>Autobussi kasutusrent</t>
  </si>
  <si>
    <t>Bussi pesu</t>
  </si>
  <si>
    <t>Ülevaatus</t>
  </si>
  <si>
    <t>Muud vedelikud (jahutus, klaasipesu jms)</t>
  </si>
  <si>
    <t>M.K.Reis-X OÜ</t>
  </si>
  <si>
    <t>Sõidukulude kompenseerimised lapsevanematele</t>
  </si>
  <si>
    <t>VIROL leping (70 korda sõitex8,30x1 laps)</t>
  </si>
  <si>
    <t>Lumetõrje</t>
  </si>
  <si>
    <t>0451001</t>
  </si>
  <si>
    <t>Kergliiklusteed</t>
  </si>
  <si>
    <t>0810905</t>
  </si>
  <si>
    <t>215</t>
  </si>
  <si>
    <t>Andmekaitseametnik</t>
  </si>
  <si>
    <t>Ruuteri ja Syslogi hooldustasu (Gurud)</t>
  </si>
  <si>
    <t>Kodulehe majutus ja e-post (Telia)</t>
  </si>
  <si>
    <t>Interneti kuutasu</t>
  </si>
  <si>
    <t>X-tee turvaserveri v6 majutus (Andmevara)</t>
  </si>
  <si>
    <t>Ujumistreeningud</t>
  </si>
  <si>
    <t>095104</t>
  </si>
  <si>
    <t>Ujulasse transport</t>
  </si>
  <si>
    <t>Ujumisõpetuse juhendaja tasu (3 inX120€/kuu</t>
  </si>
  <si>
    <t>Ujumisõpetuse juhendaja tasuga seotud maksud</t>
  </si>
  <si>
    <t>Sporditöönõunik</t>
  </si>
  <si>
    <t>08600</t>
  </si>
  <si>
    <t>Kommunikatsiooni- ja turisminõunik</t>
  </si>
  <si>
    <t>Vilde kirjanduspreemia</t>
  </si>
  <si>
    <t>0810907</t>
  </si>
  <si>
    <t>02500</t>
  </si>
  <si>
    <t>01800</t>
  </si>
  <si>
    <t>Partnerid MTÜ liikmemaks</t>
  </si>
  <si>
    <t>VIROL omaosalus projektis "Piirkondlike algatuste tugiprogramm 2020-2023"</t>
  </si>
  <si>
    <t>Liikmemaks Põhja- Eesti Ühistranspordikeskus MTÜ-le</t>
  </si>
  <si>
    <t>Paik MTÜ liikmemaks</t>
  </si>
  <si>
    <t>Kindlustusmaksed</t>
  </si>
  <si>
    <t>Vallavalitsuse ja hallatavate asutuste aasta kindlustus</t>
  </si>
  <si>
    <t>Isikliku sõiduauto kompensatsioonid (abivallavanem)</t>
  </si>
  <si>
    <t>Isikliku sõiduauto kompensatsioonid (vallasekretär)</t>
  </si>
  <si>
    <t>Uurimis- ja arendustööd</t>
  </si>
  <si>
    <t>Vinni Valla üldplaneering</t>
  </si>
  <si>
    <t>Isikliku sõiduauto kompensatsioonid (juhiabi)</t>
  </si>
  <si>
    <t>Valitavate ametnike ja kõrgemate riigiteenijate töötasu</t>
  </si>
  <si>
    <t>Vallavalitsuse koosseis K. Lillepuu</t>
  </si>
  <si>
    <t>Vallavalitsuse koosseis R. Metsla</t>
  </si>
  <si>
    <t>Vallavalitsuse koosseis H. Klammer</t>
  </si>
  <si>
    <t>Jurist</t>
  </si>
  <si>
    <t>Abivallavanem</t>
  </si>
  <si>
    <t>Vallavanem</t>
  </si>
  <si>
    <t>Kantseleispetsialist (2 in)</t>
  </si>
  <si>
    <t>01111</t>
  </si>
  <si>
    <t>1</t>
  </si>
  <si>
    <t>Volikogu esimees</t>
  </si>
  <si>
    <t>Komisjoni esimehed</t>
  </si>
  <si>
    <t>Volikogu liikmed</t>
  </si>
  <si>
    <t>Külaliste vastuvõtukulud, lilled jm kulud</t>
  </si>
  <si>
    <t>Komisjoni liikmed</t>
  </si>
  <si>
    <t>Kantseleispetsialisti lisatasu - volikogu protokollimine</t>
  </si>
  <si>
    <t>Objekt</t>
  </si>
  <si>
    <t>Osakond</t>
  </si>
  <si>
    <t>Projekt</t>
  </si>
  <si>
    <t>Eelarveosa</t>
  </si>
  <si>
    <t>Eelarvekonto</t>
  </si>
  <si>
    <t>Summa</t>
  </si>
  <si>
    <t>Kirje</t>
  </si>
  <si>
    <t>Column3</t>
  </si>
  <si>
    <t>Column6</t>
  </si>
  <si>
    <t>Konto nimetus</t>
  </si>
  <si>
    <t>Tulu/kulu liigi grupp</t>
  </si>
  <si>
    <t>Eelarve eest vastutav</t>
  </si>
  <si>
    <t>Tegevusala kood</t>
  </si>
  <si>
    <t>Tegevusala nimetus</t>
  </si>
  <si>
    <t>Tegevus alanimetus</t>
  </si>
  <si>
    <t>Tegevusala nimetus2</t>
  </si>
  <si>
    <t>Kontode alanimetus</t>
  </si>
  <si>
    <t>Tulu/kulu liik</t>
  </si>
  <si>
    <t>Konto</t>
  </si>
  <si>
    <t>Kontode koondnimetus</t>
  </si>
  <si>
    <t>Põhitegevuse tulu</t>
  </si>
  <si>
    <t>Riigilõivud</t>
  </si>
  <si>
    <t>Kaupade ja teenuste müük</t>
  </si>
  <si>
    <t>Laekumised haridusasutuste majandustegevusest</t>
  </si>
  <si>
    <t>Lasteiatasu - õppekulu</t>
  </si>
  <si>
    <t>Õpilaskoht</t>
  </si>
  <si>
    <t>Lasteaia toiduraha</t>
  </si>
  <si>
    <t>Tulud sotsiaalabi teenustest</t>
  </si>
  <si>
    <t>Laekumised elamu- ja kommunaalasutuste majandustegevusest</t>
  </si>
  <si>
    <t>Laekumised korrakaitseasutuste majandustegevusest</t>
  </si>
  <si>
    <t>Laekumised muude majandusküsimustega tegelevate asutustega</t>
  </si>
  <si>
    <t>Üüri- ja renditulud</t>
  </si>
  <si>
    <t>Saadavad toetused tegevuskuludeks</t>
  </si>
  <si>
    <t>Sihtotstarbelised toetused jooksvateks kuludeks</t>
  </si>
  <si>
    <t>Valitsussektorisisesed toetused</t>
  </si>
  <si>
    <t>Tasu vee erikasutusest</t>
  </si>
  <si>
    <t>Saastetasud</t>
  </si>
  <si>
    <t>Peretoetused</t>
  </si>
  <si>
    <t>Antavad toetused tegevuskuludeks</t>
  </si>
  <si>
    <t>Põhitegevuse kulu</t>
  </si>
  <si>
    <t>Muud peretoetused</t>
  </si>
  <si>
    <t>Muud toetused töötutele</t>
  </si>
  <si>
    <t>Puudega lapse toetus</t>
  </si>
  <si>
    <t>Puudega inimese hooldaja toetus</t>
  </si>
  <si>
    <t>Proteesid, ortopeedilised ja muud abivahendid puuetega inimestele</t>
  </si>
  <si>
    <t>Muud toetused puuetega inimestele ja nende hooldajatele</t>
  </si>
  <si>
    <t>Toetused eakatele</t>
  </si>
  <si>
    <t>Ravitoetused</t>
  </si>
  <si>
    <t>Muud sotsiaalabitoetused ja hüvitised</t>
  </si>
  <si>
    <t>Sihtotstarbelised eraldised muudele residentidele</t>
  </si>
  <si>
    <t>Töötasud</t>
  </si>
  <si>
    <t xml:space="preserve"> Avaliku teenistuse ametnike töötasu</t>
  </si>
  <si>
    <t>Töötajate töötasud</t>
  </si>
  <si>
    <t>Töötasud võlaõiguslike lepingute alusel</t>
  </si>
  <si>
    <t>Tööjõukuludega kaasnevad maksud ja sotsiaalkindlustusmaksed</t>
  </si>
  <si>
    <t>Sõidukite ülalpidamise kulud</t>
  </si>
  <si>
    <t>Masinate ja seadmete ülalpidamise kulud, v.a. infotehnoloogilised kulud</t>
  </si>
  <si>
    <t>Õppevahendid</t>
  </si>
  <si>
    <t>Maa müük</t>
  </si>
  <si>
    <t>Rajatiste ja hoonete müük</t>
  </si>
  <si>
    <t>Muude materiaalsete põhivarade müük</t>
  </si>
  <si>
    <t>Maa soetamine</t>
  </si>
  <si>
    <t>Masinate ja seadmete, sh transpordivahendite soetamine</t>
  </si>
  <si>
    <t>Info- ja kommunikatsioonitehnoliigia seadmete seotamine</t>
  </si>
  <si>
    <t>Muu amortiseeruv materiaalne põhivara</t>
  </si>
  <si>
    <t>Arenguväljaminekud</t>
  </si>
  <si>
    <t>Põhivara soetuseks saadav sihtfinantseerimine</t>
  </si>
  <si>
    <t>Sihtotstarbelised eraldised põhivara soetamiseks muudele residentidele</t>
  </si>
  <si>
    <t>Sihtotstarbelised eraldised põhivara soetamiseks mitteresidentidele</t>
  </si>
  <si>
    <t>Intressitulud</t>
  </si>
  <si>
    <t>Laenude võtmine muudelt residentidelt</t>
  </si>
  <si>
    <t>Tegevusala koondnimetus</t>
  </si>
  <si>
    <t>Tegevusala alanimetus</t>
  </si>
  <si>
    <t>Märkused</t>
  </si>
  <si>
    <t xml:space="preserve">03600           </t>
  </si>
  <si>
    <t>Muu avalik kord ja julgeolek, sh haldus</t>
  </si>
  <si>
    <t xml:space="preserve">0451003         </t>
  </si>
  <si>
    <t>nime muudatus</t>
  </si>
  <si>
    <t xml:space="preserve">0660502         </t>
  </si>
  <si>
    <t>Rägavere halduspiirkond</t>
  </si>
  <si>
    <t>ei kasuta al. 2020</t>
  </si>
  <si>
    <t xml:space="preserve">0660503         </t>
  </si>
  <si>
    <t>Roela halduspiirkond</t>
  </si>
  <si>
    <t xml:space="preserve">0660504         </t>
  </si>
  <si>
    <t>Tudu halduspiirkond</t>
  </si>
  <si>
    <t xml:space="preserve">0660505         </t>
  </si>
  <si>
    <t>Viru-Jaagupi halduspiirkond</t>
  </si>
  <si>
    <t xml:space="preserve">0660506         </t>
  </si>
  <si>
    <t>Vinni-Pajusti halduspiirkond</t>
  </si>
  <si>
    <t>al. 2020</t>
  </si>
  <si>
    <t xml:space="preserve">0810204         </t>
  </si>
  <si>
    <t xml:space="preserve">0810207         </t>
  </si>
  <si>
    <t xml:space="preserve">0810701         </t>
  </si>
  <si>
    <t xml:space="preserve">0810702         </t>
  </si>
  <si>
    <t xml:space="preserve">08109           </t>
  </si>
  <si>
    <t xml:space="preserve">0810906         </t>
  </si>
  <si>
    <t xml:space="preserve"> laste laager</t>
  </si>
  <si>
    <t xml:space="preserve">0820107         </t>
  </si>
  <si>
    <t>Muuga Raamatukogu</t>
  </si>
  <si>
    <t xml:space="preserve">0820108         </t>
  </si>
  <si>
    <t>Venevere Raamatukogu</t>
  </si>
  <si>
    <t xml:space="preserve">0820204         </t>
  </si>
  <si>
    <t xml:space="preserve">0921201         </t>
  </si>
  <si>
    <t xml:space="preserve"> Muuga-Laekvere põhikool - Laekvere õppehoone</t>
  </si>
  <si>
    <t xml:space="preserve">0921202         </t>
  </si>
  <si>
    <t xml:space="preserve"> Muuga-Laekvere põhikool - Muuga õppehoone</t>
  </si>
  <si>
    <t xml:space="preserve">0921207         </t>
  </si>
  <si>
    <t>uus</t>
  </si>
  <si>
    <t xml:space="preserve">09220           </t>
  </si>
  <si>
    <t xml:space="preserve"> Põhi- ja üldkeskhariduse kaudsed kulud</t>
  </si>
  <si>
    <t>??</t>
  </si>
  <si>
    <t>Ei kasuta enam</t>
  </si>
  <si>
    <t xml:space="preserve">0922001         </t>
  </si>
  <si>
    <t xml:space="preserve"> Vinni pajusti Gümnaasium</t>
  </si>
  <si>
    <t xml:space="preserve">0980001         </t>
  </si>
  <si>
    <t>1020104</t>
  </si>
  <si>
    <t>Sum of Summa</t>
  </si>
  <si>
    <t>Sõidukite kasutusrent</t>
  </si>
  <si>
    <t>Isikliku sõiduauto kompensatsioon</t>
  </si>
  <si>
    <t>Hooned ja rajatised</t>
  </si>
  <si>
    <t>Investeerimistegevuse kulud</t>
  </si>
  <si>
    <t>Vallamaja tehnosüsteemide rekonstrueerimine</t>
  </si>
  <si>
    <t>Kaasav eelarve</t>
  </si>
  <si>
    <t>Laenude intresside tasumised</t>
  </si>
  <si>
    <t>Laenuintressi kulu</t>
  </si>
  <si>
    <t>Laekvere kergliiklustee</t>
  </si>
  <si>
    <t>Roela lasteaed-põhikool, energiatõhusustööd</t>
  </si>
  <si>
    <t>Ulvi Kodu, energiatõhusustööd (küttesüsteem, ventilatsioon, avatäited, soojustamine)</t>
  </si>
  <si>
    <t>Ettevõtlustoetused</t>
  </si>
  <si>
    <t>Antud sihtfinantseerimine põhivara soetuseks</t>
  </si>
  <si>
    <t>Hajaasustuseprogramm</t>
  </si>
  <si>
    <t>ÜVK arendamise kava investeeringute kaasrahastamine</t>
  </si>
  <si>
    <t>Rakvere Haigla AS investeeringute osamakse</t>
  </si>
  <si>
    <t>Kodumaine sihtfinantseerimine põhivara soetuseks</t>
  </si>
  <si>
    <t>Laenude põhiosade tasumised</t>
  </si>
  <si>
    <t>Võetud pikaajalised laenud nominaalväärtuses</t>
  </si>
  <si>
    <t>Puuetega inimeste transport</t>
  </si>
  <si>
    <t>Pajusti Lasteaed Ulvis</t>
  </si>
  <si>
    <t>ei kasuta al 2021</t>
  </si>
  <si>
    <t>3</t>
  </si>
  <si>
    <t>Investeerimistegevuse tulud</t>
  </si>
  <si>
    <t>11</t>
  </si>
  <si>
    <t>Omatulude eelarve</t>
  </si>
  <si>
    <t>Saadud sihtfinantseerimine põhivara soetuseks</t>
  </si>
  <si>
    <t>Hajaasustuseprogramm (saadav toetus)</t>
  </si>
  <si>
    <t>Muud (märgid jne)</t>
  </si>
  <si>
    <t>Toetused sportlastele</t>
  </si>
  <si>
    <t>Tervise edendamine</t>
  </si>
  <si>
    <t>Noorsootöö haldus</t>
  </si>
  <si>
    <t>Toetused-MTÜ</t>
  </si>
  <si>
    <t>Pajusti Lasteaed Pajustis</t>
  </si>
  <si>
    <t>Vinni-Pajusti Gümnaasium - gümnaasiumi osa</t>
  </si>
  <si>
    <t>ÜÜR JA RENT</t>
  </si>
  <si>
    <t>TULUD KORRAKAITSEST</t>
  </si>
  <si>
    <t>ELAMU- JA KOMMUNAALTEGEVUSE TULUD</t>
  </si>
  <si>
    <t>Koduteenused</t>
  </si>
  <si>
    <t>TULUD SOTSIAALABIALASEST TEGEVUSEST</t>
  </si>
  <si>
    <t>1012107</t>
  </si>
  <si>
    <t>Roela Õpilaskodu toetus</t>
  </si>
  <si>
    <t>SAADUD TEGEVUSTOETUSED</t>
  </si>
  <si>
    <t xml:space="preserve">Füüsilise isiku tulumaks </t>
  </si>
  <si>
    <t>Tasu toitlustamiskuludeks</t>
  </si>
  <si>
    <t>Koolieelsete lasteasutuste kohatasu</t>
  </si>
  <si>
    <t>Saunateenuste tulu</t>
  </si>
  <si>
    <t>TULUD MUUDELT MAJANDUSALADELT</t>
  </si>
  <si>
    <t>RIIGILÕIVUD</t>
  </si>
  <si>
    <t>Kohaliku omavalitsuse tasandusfond</t>
  </si>
  <si>
    <t>Kohaliku omavalitsuse toetusfond</t>
  </si>
  <si>
    <t>04510</t>
  </si>
  <si>
    <t>Raske ja sügava puudega lastele abi osutamise toetus</t>
  </si>
  <si>
    <t>10121</t>
  </si>
  <si>
    <t>10400</t>
  </si>
  <si>
    <t>09110</t>
  </si>
  <si>
    <t>09510</t>
  </si>
  <si>
    <t>Ulvi kodu kohatasu (28inx12x630)</t>
  </si>
  <si>
    <t>Koolieelsete lasteasutuste kohatasu (sisaldab gümnaasiumite kohatasu)</t>
  </si>
  <si>
    <t>Alushariduse kohatasud</t>
  </si>
  <si>
    <t>09800</t>
  </si>
  <si>
    <t>Asendus- ja järelhooldus</t>
  </si>
  <si>
    <t>Täiendav ravimitoetus</t>
  </si>
  <si>
    <t>Vinni päevakeskus</t>
  </si>
  <si>
    <t>Huvitegevus</t>
  </si>
  <si>
    <t>Vinni-Pajusti Raamatukogu</t>
  </si>
  <si>
    <t>2021.a võetavad laenud investeeringute katteks</t>
  </si>
  <si>
    <t>5</t>
  </si>
  <si>
    <t>4</t>
  </si>
  <si>
    <t>Eelarve konto 2 kohaline</t>
  </si>
  <si>
    <t>Muud kinnistute ja hoonetega seotud kulud</t>
  </si>
  <si>
    <t>Valverühm - õpetaja abi asendamine ca. 61 pv</t>
  </si>
  <si>
    <t>Õppepuhkusepäevade asendamised</t>
  </si>
  <si>
    <t>Õppega seotud lõpetamisega seotud puhkepäevad</t>
  </si>
  <si>
    <t>Lääne-Virumaa haridusvõrgu analüüs KOV omafinan.</t>
  </si>
  <si>
    <t>Kommunaalmaksed</t>
  </si>
  <si>
    <t>Kütus Muruniiduk/trimmer/tehnoloogiaring</t>
  </si>
  <si>
    <t>Kütus Škoda (90liitritx11kuud)</t>
  </si>
  <si>
    <t>Kütus Citroen Berlingo (40liitritx11kuud)</t>
  </si>
  <si>
    <t>Kütus Peugeot Traveller (120x11kuud)</t>
  </si>
  <si>
    <t>15</t>
  </si>
  <si>
    <t>Tegevusala kood 2 kohaline</t>
  </si>
  <si>
    <t>08</t>
  </si>
  <si>
    <t>01</t>
  </si>
  <si>
    <t>09</t>
  </si>
  <si>
    <t>Bussi liikluskindlustus</t>
  </si>
  <si>
    <t>Bussi kaskokindlustus</t>
  </si>
  <si>
    <t>Kütus bussile</t>
  </si>
  <si>
    <t>2020 ea</t>
  </si>
  <si>
    <t>2020 täitm</t>
  </si>
  <si>
    <t>Saadud sihtfinantseerimine põhivara soetuseks - Tänavavalgustus</t>
  </si>
  <si>
    <t>EA kontroll</t>
  </si>
  <si>
    <t>Koolieelsete lasteasutuste õpetajate tööjõukulude toetus</t>
  </si>
  <si>
    <t>Huvihariduse ja -tegevuse toetus</t>
  </si>
  <si>
    <t>Toimetulekutoetuse maksmise hüvitis</t>
  </si>
  <si>
    <t>Asendus- ja järelhooldusteenuse toetus</t>
  </si>
  <si>
    <t>Kohalike teede hoiu toetus</t>
  </si>
  <si>
    <t>Rahvastikutoimingute kulude hüvitis</t>
  </si>
  <si>
    <t>I Muudatus</t>
  </si>
  <si>
    <t>Eelarve peale muudatusi</t>
  </si>
  <si>
    <t>Sum of I Muudatus</t>
  </si>
  <si>
    <t>I muudatus</t>
  </si>
  <si>
    <t>HEV koordinaator</t>
  </si>
  <si>
    <t>II Muudatus</t>
  </si>
  <si>
    <t>Katuserahad</t>
  </si>
  <si>
    <t>II muudatus</t>
  </si>
  <si>
    <t>Sum of II Muudatus</t>
  </si>
  <si>
    <t xml:space="preserve"> I kv aadressiandmete korrastamise tööde eest</t>
  </si>
  <si>
    <t>Põhivara müük</t>
  </si>
  <si>
    <t>Osalused tütar- ja sidusettevõtjates</t>
  </si>
  <si>
    <t>Osaluste soetus (-)</t>
  </si>
  <si>
    <t>Tugiisikuteenuse toetus</t>
  </si>
  <si>
    <t>Täiendav toetus õpilünkade tasandamiseks</t>
  </si>
  <si>
    <t>Ulvi Kodu ravimite, hooldusvahendite müük</t>
  </si>
  <si>
    <t>2021/2022</t>
  </si>
  <si>
    <t>Lasteaia päikesejaam</t>
  </si>
  <si>
    <t>Kultuuriprojektide kaasfinantseeringud</t>
  </si>
  <si>
    <t>Kõned ja sõnumid (Telia)</t>
  </si>
  <si>
    <t>Vabatahtlike päästjate tegevustoetus</t>
  </si>
  <si>
    <t>Vinni aleviku multifunktsionaalne hoone</t>
  </si>
  <si>
    <t>Kaskokindlustus</t>
  </si>
  <si>
    <t>Laborant</t>
  </si>
  <si>
    <t>Pikapäevarühma lisatasud</t>
  </si>
  <si>
    <t>RIKS rent (Deltmar OÜ)</t>
  </si>
  <si>
    <t>Prügikonteinerite rent (Ragn-Sells) sh vanapaberi rent</t>
  </si>
  <si>
    <t>Lauatelefonid (Telia)</t>
  </si>
  <si>
    <t>Ruuteri, digiboksi rent (Telia)</t>
  </si>
  <si>
    <t>Toiduained</t>
  </si>
  <si>
    <t>Laekvere lasteaia soojussõlme haldamise lepingu tasu (Roela Soojus)</t>
  </si>
  <si>
    <t>Huviringid teenusena</t>
  </si>
  <si>
    <t>Huviringid koolides</t>
  </si>
  <si>
    <t>Hooldustöötajate asendaja</t>
  </si>
  <si>
    <t>Näpi kool</t>
  </si>
  <si>
    <t>Vähihaigete Liit tegevustoetus</t>
  </si>
  <si>
    <t>Lääne Virumaa Kurtide Ühing tegevustoetus</t>
  </si>
  <si>
    <t>Lääne-Virumaa Sclerosis Multipleksi Ühing tegevustoetus</t>
  </si>
  <si>
    <t>MTÜ Õendus-hoolduskeskus Loojang tegevustoetus</t>
  </si>
  <si>
    <t>Spordiklubide, sportlaste, MTÜ-de tegevustoetus</t>
  </si>
  <si>
    <t>Lasteaedade õuesõppetingimuste loomine</t>
  </si>
  <si>
    <t>Pisiremondid jms</t>
  </si>
  <si>
    <t>Küti sauna kütja</t>
  </si>
  <si>
    <t>Tudu sauna asendajad</t>
  </si>
  <si>
    <t>Riigilõivud vms</t>
  </si>
  <si>
    <t>Bussisaatja teenus (Porkuni) Rakvere Linnavalitsus esitab arve</t>
  </si>
  <si>
    <t>Pajusti Klubi soojussõlme haldamise lepingu tasu (Roela Soojus)</t>
  </si>
  <si>
    <t>Pesumasinist 0,5 koormus</t>
  </si>
  <si>
    <t>Abiõpetaja 0,2 koormusega</t>
  </si>
  <si>
    <t>Õpetaja abi 0,8 koormus</t>
  </si>
  <si>
    <t>Liikumisõpetaja 0,25</t>
  </si>
  <si>
    <t>Muusikaõpetaja 0,25 koormus</t>
  </si>
  <si>
    <t>Õpetaja 0,83 koormus</t>
  </si>
  <si>
    <t>Majandusjuhataja ülesanded direktoril</t>
  </si>
  <si>
    <t>Prügikonteineri rent ja jäätmevedu (Lääne-Viru Jäätmekeskus)</t>
  </si>
  <si>
    <t>Kulina lasteaia maaküttesüsteemi haldamise lepingu tasu (Roela Soojus)</t>
  </si>
  <si>
    <t>Kohviaparaadi korraline hooldus ja veefiltrid</t>
  </si>
  <si>
    <t>Laekvere vana vallamaja soojussõlme haldamise lepingu tasu (Roela Soojus)</t>
  </si>
  <si>
    <t>Turvanet (Telia)</t>
  </si>
  <si>
    <t>Laekvere PM ruumide rent ja töökoja teenus</t>
  </si>
  <si>
    <t>Auto korraline hooldus</t>
  </si>
  <si>
    <t>Autode ülevaatus</t>
  </si>
  <si>
    <t>Kindlustus sõidukitele (Volkswagen, Nissan)</t>
  </si>
  <si>
    <t>Elektritööd (Enno Mandel)</t>
  </si>
  <si>
    <t>Elektrikäiduleping (Enno Mandel)</t>
  </si>
  <si>
    <t>Soojusenergia (N.R. Energy)</t>
  </si>
  <si>
    <t>Projektides osalemine</t>
  </si>
  <si>
    <t>Kütus sots.töötajate töösõidukitesse (Škoda, Mitsu, Ford, Lasteheaolu)</t>
  </si>
  <si>
    <t>Toidpanga pakkide jaotamine</t>
  </si>
  <si>
    <t>Bussi hooldus 1x</t>
  </si>
  <si>
    <t>Laekvere Kooli soojussõlme haldamise lepingu tasu (Roela Soojus)</t>
  </si>
  <si>
    <t>Niitmisteenus (Ehitme)</t>
  </si>
  <si>
    <t>VINNI VALD, ROELA ALEVIK, VESKI TN 14 KORTERIÜHISTU kommunaalid</t>
  </si>
  <si>
    <t>ROELA ALEVIK, VESKI TN 14 KORTERIÜHISTU kommunaalid</t>
  </si>
  <si>
    <t>Viru-Jaagupi koolimaja automaatse tulekahjusignalisatsiooni korraline hooldus</t>
  </si>
  <si>
    <t>Soojusenergia Kooli tn 7 (Roela Soojus)</t>
  </si>
  <si>
    <t>Niitmisteenus (Kalno Vaarmets)</t>
  </si>
  <si>
    <t>Niitmisteenus (Fixum Service)</t>
  </si>
  <si>
    <t>Kütus sõidukitele</t>
  </si>
  <si>
    <t>Internet (Telia - Kesk tn 5)</t>
  </si>
  <si>
    <t>Sideteenused (Telia- Kooli tee 7)</t>
  </si>
  <si>
    <t>Sideteenused (Telia- Roela Noortemaja)</t>
  </si>
  <si>
    <t>Sideteenused (Telia- Tudu)</t>
  </si>
  <si>
    <t>Sideteenused (Telia - Kooli 7)</t>
  </si>
  <si>
    <t>Sideteenused (Telia - Nele ja kalmistu</t>
  </si>
  <si>
    <t>Bussi korraline hooldus</t>
  </si>
  <si>
    <t>Toiduained lasteaed</t>
  </si>
  <si>
    <t>Ulvi mõis haldamise lepingu tasu (Roela Soojus)</t>
  </si>
  <si>
    <t>Vinni lasteaia soojussõlme haldamise lepingu tasu (Roela Soojus)</t>
  </si>
  <si>
    <t>Valverühm - õpetaja asendamine ca. 64 pv</t>
  </si>
  <si>
    <t>Kultuuriseltsite, MTÜ-de tegevustoetused</t>
  </si>
  <si>
    <t>Suusaradade rajamisega seotud masina transport</t>
  </si>
  <si>
    <t>Suusaradade rajamisega seotud kütusekulu</t>
  </si>
  <si>
    <t>Vinni Valla Noored</t>
  </si>
  <si>
    <t>Regionaalsete sündmuste kuvamine kultuurikava ee veebikeskkonnas ja omavalitsuse kodulehel (kultuurinet)</t>
  </si>
  <si>
    <t>Valla kultuuriüritused</t>
  </si>
  <si>
    <t>Huvitegevuse toetus</t>
  </si>
  <si>
    <t>Muusikaõpetaja lisaülesanded õpetajal</t>
  </si>
  <si>
    <t>Pesumasinist lisatasu õpetajal</t>
  </si>
  <si>
    <t>Õpetaja (magister)</t>
  </si>
  <si>
    <t>Lilled juubelitoetuse saajatele</t>
  </si>
  <si>
    <t>Juubelitoetused reserv</t>
  </si>
  <si>
    <t>Juubelitoetused 50€</t>
  </si>
  <si>
    <t>Juubelitoetused 100€</t>
  </si>
  <si>
    <t>Eakate ühekordsed toetused</t>
  </si>
  <si>
    <t>Johanna MTÜ tegevustoetus</t>
  </si>
  <si>
    <t>Hariduskapitali preemia</t>
  </si>
  <si>
    <t>Omasteta matusekulud</t>
  </si>
  <si>
    <t>Jäätmeveod</t>
  </si>
  <si>
    <t>Kokk lisatasu riigipüha</t>
  </si>
  <si>
    <t>Vinni raamatukogu soojussõlme haldamise lepingu tasu (Roela Soojus)</t>
  </si>
  <si>
    <t>Avaliku ruumi arendamine (Kirjandustammik, VPG ala)</t>
  </si>
  <si>
    <t>Mänguväljakute rajamine</t>
  </si>
  <si>
    <t>Med.tarbed, vaktsiinid</t>
  </si>
  <si>
    <t>Inventari vajadused</t>
  </si>
  <si>
    <t>Meeskonnakoolitused</t>
  </si>
  <si>
    <t>Esindus- ja vastuvõtukulud</t>
  </si>
  <si>
    <t>Äripäeva tarkvara, litsensid</t>
  </si>
  <si>
    <t>Äripäeva tellimused</t>
  </si>
  <si>
    <t>Mobiilsideteenused (Telia)</t>
  </si>
  <si>
    <t>Seadme üür, 4G väline ruuter</t>
  </si>
  <si>
    <t>Pangateenustasud (Swed)</t>
  </si>
  <si>
    <t>Pangateenustasud (SEB)</t>
  </si>
  <si>
    <t>Overall  (Usage) Vastavalt näidule (lepinguline)</t>
  </si>
  <si>
    <t>Lipud</t>
  </si>
  <si>
    <t>Prillide hüvitamine</t>
  </si>
  <si>
    <t>Kohvioad (Joogiekspert)</t>
  </si>
  <si>
    <t>ajakiri Edasi</t>
  </si>
  <si>
    <t>Virumaa Teataja</t>
  </si>
  <si>
    <t>Postikulud (Eesti Post)</t>
  </si>
  <si>
    <t>E-arvekeskus Ettevõttepakett+ (eKinnitusring) (Finbite)</t>
  </si>
  <si>
    <t>Nägemiskontroll</t>
  </si>
  <si>
    <t>Tervisekontrollid</t>
  </si>
  <si>
    <t>Kuulutused ajalehtedes</t>
  </si>
  <si>
    <t>Vallavanema autopesu</t>
  </si>
  <si>
    <t>Tööstusballoonide rent</t>
  </si>
  <si>
    <t>Amphora litsensitasu</t>
  </si>
  <si>
    <t>Notaritasud</t>
  </si>
  <si>
    <t>Vallavanema autotarvikud vms</t>
  </si>
  <si>
    <t>Vallavanema lähetused vms</t>
  </si>
  <si>
    <t>Rauno ideed ja soovid</t>
  </si>
  <si>
    <t>Vallamaja põrandate vahatamine</t>
  </si>
  <si>
    <t>Vallamaja koristuskulud</t>
  </si>
  <si>
    <t>Vallavanema auto (leping lõppeb veebruar)</t>
  </si>
  <si>
    <t>Vinni Vallamaja soojussõlme haldamise lepingu tasu (Roela Soojus)</t>
  </si>
  <si>
    <t>Isikliku sõiduauto kompensatsioonid (M. Karlson-Karv)</t>
  </si>
  <si>
    <t>Kokk lisatasu õpilaskodu toitlustamine</t>
  </si>
  <si>
    <t>Spordirajatiste meister lisatasu</t>
  </si>
  <si>
    <t>Roela kooli soojusõlme haldamise lepingu tasu (Roela soojus)</t>
  </si>
  <si>
    <t>Vinni Tervisekeskuse fassaadi remont</t>
  </si>
  <si>
    <t>Pellet</t>
  </si>
  <si>
    <t>Ehitus-,remondi-ja majandustööline</t>
  </si>
  <si>
    <t>Remondi- ja elektritööline</t>
  </si>
  <si>
    <t>Majahoidja tunnitasu</t>
  </si>
  <si>
    <t>Gümnaasiumi energiatõhusustööd</t>
  </si>
  <si>
    <t>Kergteede arendamine</t>
  </si>
  <si>
    <t>Käsitöö, Teatristuudio</t>
  </si>
  <si>
    <t>Hoolde- ja remonditööde lepingulised maksed (ENNAK SEL)</t>
  </si>
  <si>
    <t>Kuutasuline internet (Telia)</t>
  </si>
  <si>
    <t>Ringijuhid - eakate võimlemine</t>
  </si>
  <si>
    <t>Laekvere Rahvamaja soojussõlme haldamise lepingu tasu (Roela Soojus)</t>
  </si>
  <si>
    <t>Rahvamaja energiatõhusustööd</t>
  </si>
  <si>
    <t>Rahvusarhiivi teenused</t>
  </si>
  <si>
    <t>Planeeringutealane nõustamine (Erkki Leek)</t>
  </si>
  <si>
    <t>Majandusosakonna koolitused</t>
  </si>
  <si>
    <t>Kaunis kodu</t>
  </si>
  <si>
    <t>Perearsti Väike-Maarja TK (Laekvere) Transpordikulu</t>
  </si>
  <si>
    <t>SOS Lasteküla</t>
  </si>
  <si>
    <t>Haiba lastekodu</t>
  </si>
  <si>
    <t>Maria ja lapsed</t>
  </si>
  <si>
    <t>Vinni Perekodus VV lapsed</t>
  </si>
  <si>
    <t>Pereshooldamine</t>
  </si>
  <si>
    <t>Pajusti lasteaia soojussõlme haldamise lepingu tasu (Roela Soojus)</t>
  </si>
  <si>
    <t>Reoveepumpade hooldus (Virumaa Veepumbakeskus)</t>
  </si>
  <si>
    <t>Office ProPlus Edu (kõikide ametiasutuste) GT Tarkvara</t>
  </si>
  <si>
    <t>Windows 10 Edu upgrade (kõikide ametiasutuste) GT Tarkvara</t>
  </si>
  <si>
    <t>Volikogu muud kulud</t>
  </si>
  <si>
    <t>Info- ja kommunikatsioonitehnoloogia kulud</t>
  </si>
  <si>
    <t>Muud sotsiaalabitoetused</t>
  </si>
  <si>
    <t>06300</t>
  </si>
  <si>
    <t>01700</t>
  </si>
  <si>
    <t>Vaktsineerimata laste testide soetamiseks jääk?</t>
  </si>
  <si>
    <t>OPIQu reserv?</t>
  </si>
  <si>
    <t>Üritused vastavalt plaanile</t>
  </si>
  <si>
    <t>Ploomi transport 10*60</t>
  </si>
  <si>
    <t>Kanva aastamaks</t>
  </si>
  <si>
    <t>Bürootarbed + reklaamid</t>
  </si>
  <si>
    <t>Pisiremondid</t>
  </si>
  <si>
    <t>IT väikevahendid</t>
  </si>
  <si>
    <t>IT vahendite hooldus</t>
  </si>
  <si>
    <t>Telia andmeside</t>
  </si>
  <si>
    <t>Inventari hooldus, remont</t>
  </si>
  <si>
    <t>Tervisekontroll</t>
  </si>
  <si>
    <t>transport</t>
  </si>
  <si>
    <t>ühisüritused</t>
  </si>
  <si>
    <t>mänguasjad</t>
  </si>
  <si>
    <t>õppematerjalid</t>
  </si>
  <si>
    <t>õpikud, töövihikud</t>
  </si>
  <si>
    <t>osalustasud</t>
  </si>
  <si>
    <t>Üritusedetendused, kontserdid</t>
  </si>
  <si>
    <t>Jalatsiriiul</t>
  </si>
  <si>
    <t>Muruniitmine (bensiin)</t>
  </si>
  <si>
    <t>Laste WC-pott</t>
  </si>
  <si>
    <t>Dokkimisalus arvutile Dell</t>
  </si>
  <si>
    <t>Veefiltrihooldus</t>
  </si>
  <si>
    <t>Tindiprinter värviline Epson L805</t>
  </si>
  <si>
    <t>Rulood saali</t>
  </si>
  <si>
    <t>Rasvapüüduri puhastus</t>
  </si>
  <si>
    <t>Vaip</t>
  </si>
  <si>
    <t>Kunstitarvete kapp</t>
  </si>
  <si>
    <t>Reovee biopuhasti hooldus</t>
  </si>
  <si>
    <t>Lääne-Viru Haridusjuhtide liikmemaks</t>
  </si>
  <si>
    <t>TVL - töövõtu lepingud (ujumistreener)</t>
  </si>
  <si>
    <t>Reoveepuhasti tühjendamine</t>
  </si>
  <si>
    <t>Haridus 2022 teavitusteenus</t>
  </si>
  <si>
    <t xml:space="preserve">Meditsiinikulud ja hügieenikulud. Ühekordsed näomaskid, desoained, tervisehoiutõendid, muud meditsiini ja hügieenikulud. </t>
  </si>
  <si>
    <t>Eri- ja vormiriietus (va kaitseotstarbelised kulud). Tööriiete ost (köögi personal)</t>
  </si>
  <si>
    <t xml:space="preserve">Info- ja kommunikatsioonitehnoloogia kulud. Windowsi litsets, videoserveri kõvaketa vahetus, projektorid, arvutite värskendus,, printerid, sülearvutid(4tk) </t>
  </si>
  <si>
    <t>Koolituskulud (sh koolituslähetus).Tuleohutus- ja evakuatsioonikoolitus kohustuslik</t>
  </si>
  <si>
    <t>Kommunikatsiooni-, kultuuri- ja vaba aja sisustamise kulud. Mälumängud, spodivõistlused, meened jm</t>
  </si>
  <si>
    <t>Õppevahendite ja koolituse kulud. Paljunduspaber, õpikud, töövihikud, mänguasjad, õppetransport</t>
  </si>
  <si>
    <t>Kinnistute, hoonete ja ruumide majandamiskulud. Tulekustutite kontroll 2022 kohustuslik</t>
  </si>
  <si>
    <t>Kinnistute, hoonete ja ruumide majandamiskulud. Ventilatsiooni hooldusleping, kohustuslik puhastus, filtrid ja muud varuosad.</t>
  </si>
  <si>
    <t>Kinnistute, hoonete ja ruumide majandamiskulud. San.remont ja remonditarbed, muude seadmete remont ja hooldused</t>
  </si>
  <si>
    <t>Kinnistute, hoonete ja ruumide majandamiskulud. Koristustarbed-paber, keemia ka kõõgikorrashoiuvahendid.</t>
  </si>
  <si>
    <t>Kinnistute, hoonete ja ruumide majandamiskulud. Elektripaigaldiste ja evakuatsioonivalgustuse lisamaterjalid pluss töö.</t>
  </si>
  <si>
    <t>Vinni valla raamatukogude ühisüritused- täiskasvanutele 1000.- , lastele 1000.-</t>
  </si>
  <si>
    <t>tindid,toonerid</t>
  </si>
  <si>
    <t>Ulvi rkogu üritused-raamatukogupäevad 300.- , emakeele päev 300.-</t>
  </si>
  <si>
    <t>Virtuaalserver</t>
  </si>
  <si>
    <t>Sõidukite hooldus, remont, varuosad, ülevaatused</t>
  </si>
  <si>
    <t>MTÜ Eesti Eestkostekorraldus</t>
  </si>
  <si>
    <t>Töötervishoiuarsti visiit + nägemiskontroll</t>
  </si>
  <si>
    <t xml:space="preserve">Karuvelti Talu ruumide rent </t>
  </si>
  <si>
    <t>Rehvid</t>
  </si>
  <si>
    <t>Raideri hooldus</t>
  </si>
  <si>
    <t>Muud inventari majandamiskulud</t>
  </si>
  <si>
    <t>Trimmer</t>
  </si>
  <si>
    <t>Specagra traktori hooldus</t>
  </si>
  <si>
    <t>Bürootarbed, tahmakassetid</t>
  </si>
  <si>
    <t>Heli Habakuk</t>
  </si>
  <si>
    <t>Muud sotsiaalitööd toetavad kulud</t>
  </si>
  <si>
    <t>Telefonid (Tiiu, Tiina)</t>
  </si>
  <si>
    <t>Pesumasin (Tudu), pesukuivati (Laekvere)</t>
  </si>
  <si>
    <t>Osalustasud</t>
  </si>
  <si>
    <t>Etendused, kontserdid</t>
  </si>
  <si>
    <t>Transport</t>
  </si>
  <si>
    <t>Ühisüritused</t>
  </si>
  <si>
    <t>Õppematerjalid</t>
  </si>
  <si>
    <t>Tervisetõendite uuendamine töötajatel</t>
  </si>
  <si>
    <t>Hügieenivahendid</t>
  </si>
  <si>
    <t>Invetari rent</t>
  </si>
  <si>
    <t>Programmid</t>
  </si>
  <si>
    <t>Kuulutused</t>
  </si>
  <si>
    <t>Kingitused</t>
  </si>
  <si>
    <t>Trükised</t>
  </si>
  <si>
    <t>Kooli tn 7 Jaagupi end. koolimaja kütmine</t>
  </si>
  <si>
    <t>Heakorratööline (Lauk)</t>
  </si>
  <si>
    <t>Sõidukite hooldused, remont jms varuosad</t>
  </si>
  <si>
    <t>ATV hooldus</t>
  </si>
  <si>
    <t>Küttepuud (Tudu Rahvamaja)</t>
  </si>
  <si>
    <t>Küttepuud (Küti ja Jaagupi saun)</t>
  </si>
  <si>
    <t>Muud ettenägematud kulud</t>
  </si>
  <si>
    <t>Visiiditasud jms haigla tasud</t>
  </si>
  <si>
    <t>Hügieenitarbed</t>
  </si>
  <si>
    <t>Ravimid</t>
  </si>
  <si>
    <t>Korrashoiuvahenditele kütus jms</t>
  </si>
  <si>
    <t>Rentokil kahjuritõrje</t>
  </si>
  <si>
    <t>Korstna- ja ventilatsiooni puhastus</t>
  </si>
  <si>
    <t>Veeanalüüsid (Terviseamet)</t>
  </si>
  <si>
    <t>KÜ kommunaalmaksed (KÜ Järve 2-10)</t>
  </si>
  <si>
    <t>Reoveekäitlus</t>
  </si>
  <si>
    <t>Lilled, üritused, sünnipäevad</t>
  </si>
  <si>
    <t>Kokkade koolitused</t>
  </si>
  <si>
    <t>Bürootarbed jms (nt. postikulud)</t>
  </si>
  <si>
    <t>Tamrex tulekahjusüsteemide hooldustööd /suitsueemaldusluugid</t>
  </si>
  <si>
    <t>ATS süsteemide hooldus</t>
  </si>
  <si>
    <t>Laudlinad epesutöötlus</t>
  </si>
  <si>
    <t>Lilled/hooneümbrune haljastus</t>
  </si>
  <si>
    <t>Naiste Tantsupeo osalustasu</t>
  </si>
  <si>
    <t>Lilled tähtpäevadeks</t>
  </si>
  <si>
    <t>Kööki vahustaja</t>
  </si>
  <si>
    <t>Lumepuhur</t>
  </si>
  <si>
    <t>Värviprinter</t>
  </si>
  <si>
    <t>Sülearvutid logopeedile, liikumisõpetajale</t>
  </si>
  <si>
    <t>Muud med.vahendid</t>
  </si>
  <si>
    <t>Õpetajate leht</t>
  </si>
  <si>
    <t>Rasvapüüduri teenused</t>
  </si>
  <si>
    <t>Muud bürookulud, kuulutused jms</t>
  </si>
  <si>
    <t>IT vahendid (kaablid jms)</t>
  </si>
  <si>
    <t>Muud ootamatud kulud</t>
  </si>
  <si>
    <t>Arhiivi päringud jm tasulised teenused</t>
  </si>
  <si>
    <t>Topoteegiga liitumine ja aastatasu</t>
  </si>
  <si>
    <t xml:space="preserve">Fotode paljundus muuseumile </t>
  </si>
  <si>
    <t>Esemete konserveerimine, restaureerimine</t>
  </si>
  <si>
    <t>Kodulehe tegemine (domeeni registreerimine, veebimajutuse kuutasu)</t>
  </si>
  <si>
    <t>Maskid</t>
  </si>
  <si>
    <t>Tolmuimeja + tolmukotid</t>
  </si>
  <si>
    <t>Puhastusmaterjalid ja -vahendid</t>
  </si>
  <si>
    <t>Töökindad</t>
  </si>
  <si>
    <t>UV-lamp, laualamp, infrapunalamp</t>
  </si>
  <si>
    <t>Skanmarker</t>
  </si>
  <si>
    <t>Hallitustõrjevahendid jms korrashoiuvahendid</t>
  </si>
  <si>
    <t>Arhiivikarbid, kaaned, jms bürootarbed</t>
  </si>
  <si>
    <t>Suusaradade hooldamiseks kuluv kütus</t>
  </si>
  <si>
    <t>Suusaradade hooldused</t>
  </si>
  <si>
    <t>Puude langetamine</t>
  </si>
  <si>
    <t>Käimla tühjendused</t>
  </si>
  <si>
    <t>Laste väljasõidud</t>
  </si>
  <si>
    <t>Õpetajate õppeekskursioonid</t>
  </si>
  <si>
    <t>Lõpetajate kingitused</t>
  </si>
  <si>
    <t>Isiklik abistaja, tugiisik täiskasvanule (sisaldab maksusid) - nt. Jane Pabberit</t>
  </si>
  <si>
    <t>Lääne-Viru Puuetega Inimeste Koda tegevustoetus</t>
  </si>
  <si>
    <t>Lastetoolid</t>
  </si>
  <si>
    <t>Ulvi LA ja Ulvi kodu vahelised ümbertõstmised</t>
  </si>
  <si>
    <t>Koolitused jms haridusüritused</t>
  </si>
  <si>
    <t>Koolide kohatasud</t>
  </si>
  <si>
    <t>Lasteaedade kohatasud</t>
  </si>
  <si>
    <t>Korrashoiuvahendid (sh. pisiremondid)</t>
  </si>
  <si>
    <t>Bürootarbed (paber, tooner, jne)</t>
  </si>
  <si>
    <t>Üritused, lilled jne</t>
  </si>
  <si>
    <t>Söögilauad (3TK)</t>
  </si>
  <si>
    <t>Madratsid</t>
  </si>
  <si>
    <t>Köögitarvikud</t>
  </si>
  <si>
    <t>Prügivedu, energia kontroll</t>
  </si>
  <si>
    <t>Esinduskulud</t>
  </si>
  <si>
    <t>Ajalehed (virumaa teataja, kodutohter)</t>
  </si>
  <si>
    <t>Huvijuht</t>
  </si>
  <si>
    <t>Kokkade asendamised</t>
  </si>
  <si>
    <t>Teleteenused Elisa</t>
  </si>
  <si>
    <t>Saku Läte</t>
  </si>
  <si>
    <t>Emajõe Veevärk</t>
  </si>
  <si>
    <t>Perenaise asendamine</t>
  </si>
  <si>
    <t>Internet</t>
  </si>
  <si>
    <t>Kanalisatsioonitühjendamine</t>
  </si>
  <si>
    <t>Korstnapühkimine</t>
  </si>
  <si>
    <t>Pesutöötlusteenus</t>
  </si>
  <si>
    <t>Muud bürootarbed</t>
  </si>
  <si>
    <t>Tulekustutite kontroll</t>
  </si>
  <si>
    <t>Koristaja asendamine</t>
  </si>
  <si>
    <t>Perevanemad 18 in alates 01.09.2021 töö 7 majaga</t>
  </si>
  <si>
    <t>vesi-kanalisatsioon</t>
  </si>
  <si>
    <t>Inventari majandamiskulud (soetused, riided ja jalanõud)</t>
  </si>
  <si>
    <t>Toiduained ja toitlustusteenused + kaugel õppijad</t>
  </si>
  <si>
    <t>Meditsiinikulud ja hügieenikulud, tervisekontroll</t>
  </si>
  <si>
    <t xml:space="preserve">Liising Renault </t>
  </si>
  <si>
    <t>Liising Peugeot</t>
  </si>
  <si>
    <t>tehnoseadmed</t>
  </si>
  <si>
    <t>el.käidu leping</t>
  </si>
  <si>
    <t>U.K.V ats hooldussüsteem</t>
  </si>
  <si>
    <t>prügi</t>
  </si>
  <si>
    <t>korrashoiuvahendid</t>
  </si>
  <si>
    <t>elekter</t>
  </si>
  <si>
    <t>Õppevahendid: koolitarbed (sh eririietus)</t>
  </si>
  <si>
    <t>Koolituse kulud</t>
  </si>
  <si>
    <t>Majandustöötaja</t>
  </si>
  <si>
    <t>Perede tugitöötaja</t>
  </si>
  <si>
    <t>Isikliku sõiduauto kasutus (P. Lumiste)</t>
  </si>
  <si>
    <t>Isikliku sõiduauto kasutus (H. Arro)</t>
  </si>
  <si>
    <t>Õppeekskursioonid õpetajatele</t>
  </si>
  <si>
    <t>ATV bensiin suusaradade korrashoiuks</t>
  </si>
  <si>
    <t>Kodundus</t>
  </si>
  <si>
    <t>Õppeköök</t>
  </si>
  <si>
    <t>Tehnoloogiaõpetus</t>
  </si>
  <si>
    <t>Sporditarbed</t>
  </si>
  <si>
    <t>Muud õppevahendid (CD, paberid, liim, pastapliiatsid jne)</t>
  </si>
  <si>
    <t>Töövihikud</t>
  </si>
  <si>
    <t>Õpikud</t>
  </si>
  <si>
    <t>Töötajate prillid</t>
  </si>
  <si>
    <t>Esmaabikapi tarbed (plaastrid, sidemed)</t>
  </si>
  <si>
    <t>Töötervishoiuarsti visiidid</t>
  </si>
  <si>
    <t>Klaverite häälestamine</t>
  </si>
  <si>
    <t>Sülearvuti (2 tk) õpetajatele vanade asendamiseks</t>
  </si>
  <si>
    <t>Koolibussi hooldus ja remondikulud</t>
  </si>
  <si>
    <t>Suverehvid (koolibussile)</t>
  </si>
  <si>
    <t>Koolibussi liikluskindlustus</t>
  </si>
  <si>
    <t>Korrahoiuvahendid</t>
  </si>
  <si>
    <t xml:space="preserve">Tuelkustutite kontroll </t>
  </si>
  <si>
    <t>Pisiremont, san. tehnilised tööd</t>
  </si>
  <si>
    <t>Kantseleitarbed</t>
  </si>
  <si>
    <t>Postiteenused (tööpakkumised)</t>
  </si>
  <si>
    <t>Bürootarbed (pastakad, toonerid jne)</t>
  </si>
  <si>
    <t>ATS hooldus</t>
  </si>
  <si>
    <t>Inventar</t>
  </si>
  <si>
    <t>Sõidukite kindlustused</t>
  </si>
  <si>
    <t>Teeservade niitmine</t>
  </si>
  <si>
    <t>Kodud Tuleohutuks 500 kodu osalemine</t>
  </si>
  <si>
    <t>Sotsiaalkorterite remont +kuur Allika, keldrid</t>
  </si>
  <si>
    <t>Toolid</t>
  </si>
  <si>
    <t>Ajalehed Virumaa Teataja, Eesti Ekspress</t>
  </si>
  <si>
    <t>Rahvakultuurikeskuse üritused</t>
  </si>
  <si>
    <t>Ürituste dekoratsioonid</t>
  </si>
  <si>
    <t xml:space="preserve">Tuleohutuskoolitus </t>
  </si>
  <si>
    <t>Noorteteater</t>
  </si>
  <si>
    <t>Maaliring</t>
  </si>
  <si>
    <t>Lauluselts</t>
  </si>
  <si>
    <t>Bändiring</t>
  </si>
  <si>
    <t>Kommunikatsiooni-, kultuuri- ja vaba aja sisustamise kulud - spordisündmuste kulud - Laekvere-Simuna rahvajooks ja Munadepüha turniir korvpallis. Peale selle igasugu väiksemaid võistlusi. Nende sündmuste majandamiseks peamiselt auhinnad ja kohtunike rahad.</t>
  </si>
  <si>
    <t>Pajusti LA uus logo ja silt</t>
  </si>
  <si>
    <t>Õpetajatele arvutid rühmruumidesse</t>
  </si>
  <si>
    <t>Potid, pannid jms</t>
  </si>
  <si>
    <t>Pajusti LA juubel 50</t>
  </si>
  <si>
    <t>Telia sideteenused</t>
  </si>
  <si>
    <t>Õpilaste väljasõidud, üritused</t>
  </si>
  <si>
    <t>Kontoritarbed</t>
  </si>
  <si>
    <t>Muud tarvikud</t>
  </si>
  <si>
    <t>Kaamerad</t>
  </si>
  <si>
    <t>Arvutid</t>
  </si>
  <si>
    <t>Investeeringud 2022</t>
  </si>
  <si>
    <t>Vinni Perekodu kohatasu</t>
  </si>
  <si>
    <t>Gümnaasiumi õpetajate töötasu</t>
  </si>
  <si>
    <t>Toetuseelarve</t>
  </si>
  <si>
    <t>Vinni aleviku multifunktsionaalne hoone põhivara sihfinantseerimin</t>
  </si>
  <si>
    <t>Laekvere Lasteaia päikesejaam</t>
  </si>
  <si>
    <t>VIROL liikmemaks 2022 - arvestatud 11500+6900 elanikkux0,66</t>
  </si>
  <si>
    <t>Eesti Linnade ja Valdade Liidu 2022.a. liikmemaks</t>
  </si>
  <si>
    <t>Tööle saamist parendavad tugiteenused omaosalustasu 2022</t>
  </si>
  <si>
    <t>Virumaa Koostöökogu MTÜ liikmemaks - 2022 tõuseb hind 1€/elaniku kohta</t>
  </si>
  <si>
    <t>Total</t>
  </si>
  <si>
    <t>Kohaliku omavalitsuse toetusfond ehk pedagoogilised vahendid</t>
  </si>
  <si>
    <t>2021.a võetud laenu (Swedbank) põhiosa tagasimaksed</t>
  </si>
  <si>
    <t>Pajusti LA juhataja</t>
  </si>
  <si>
    <t>VPG majandusjuhataja</t>
  </si>
  <si>
    <t>Koolitused</t>
  </si>
  <si>
    <t xml:space="preserve">TÖÖJÕUKULUDEGA KAASNEVAD MAKSUD JA SOTSIAALKINDLUSTUSMAKSED Koristaja puhkuse ajaks tööettevõtulepinguga seotud töötasu </t>
  </si>
  <si>
    <t>Koristaja puhkuse ajaks tööettevõtulepinguga seotud töötasu</t>
  </si>
  <si>
    <t>Pisiremondivahendid</t>
  </si>
  <si>
    <t>Lähetuskulud seoses bussiremondiga</t>
  </si>
  <si>
    <t>Kütus 50000km*36l/100le*1,5eur/l</t>
  </si>
  <si>
    <t>Muud ettenägematud bussiga seotud kulud</t>
  </si>
  <si>
    <t>Reserv</t>
  </si>
  <si>
    <t>Jalgrataste hoolduspost</t>
  </si>
  <si>
    <t>2021 aastal planeeritud Euroopa MV orienteerumises lükati edasi 2022 aastasse.</t>
  </si>
  <si>
    <t>Koolide ja lasteaedade spordipäevad, Vinni-Pajusti Rattasõit 2022</t>
  </si>
  <si>
    <t>Suusaradade hoolduseks ATV rent</t>
  </si>
  <si>
    <t>Suusaradade hooldamiseks kütus</t>
  </si>
  <si>
    <t>Suusaradade hooldamiseks vajaminevad tööriistad, muud abivahendid</t>
  </si>
  <si>
    <t>Row Labels</t>
  </si>
  <si>
    <t>(Multiple Items)</t>
  </si>
  <si>
    <t>Grand Total</t>
  </si>
  <si>
    <t>(All)</t>
  </si>
  <si>
    <t>Staadioni hooldamine</t>
  </si>
  <si>
    <t>Valda esindavatele sportlastele kulude hüvitamine (transport)</t>
  </si>
  <si>
    <t>Valla spordiüritustel osalemised</t>
  </si>
  <si>
    <t>Arvutitool</t>
  </si>
  <si>
    <t>Sülearvuti</t>
  </si>
  <si>
    <t>Pajusti LA juubeli puhul töötajatele preemia</t>
  </si>
  <si>
    <t>Pajusti LA juubeli puhul töötajatele preemiaga seotud maksud</t>
  </si>
  <si>
    <t>Ajakirjade tellimus 2022</t>
  </si>
  <si>
    <t>Korrashoiuvahendid vms</t>
  </si>
  <si>
    <t>Raamatukogu 75 a juubeli tähistamine(asut 01.10.47) Külalisesinejad</t>
  </si>
  <si>
    <t>Muud majandamiskulud</t>
  </si>
  <si>
    <t>Saali rulood</t>
  </si>
  <si>
    <t>Üritusteks kulud</t>
  </si>
  <si>
    <t>Kooli kokkutulek</t>
  </si>
  <si>
    <t xml:space="preserve"> </t>
  </si>
  <si>
    <t>Muud raamatupidamise teavikud</t>
  </si>
  <si>
    <t>Pangalaenu lepingutasu</t>
  </si>
  <si>
    <t>Gaasiballoonide rent</t>
  </si>
  <si>
    <t>Kohviaparaadi rent (Coffeecup)</t>
  </si>
  <si>
    <t>Vallamaja pisiremonttööd</t>
  </si>
  <si>
    <t>Pingid</t>
  </si>
  <si>
    <t>Kohvimasina hooldus</t>
  </si>
  <si>
    <t>Õpetaja abi palgatõusu maksud</t>
  </si>
  <si>
    <t>Õpetaja abi palgatõus 3in</t>
  </si>
  <si>
    <t>Õpetaja abi palgatõus 6in</t>
  </si>
  <si>
    <t>Õpetaja abi palgatõus 0,8 koormusega</t>
  </si>
  <si>
    <t>Õpetaja abi palgatõusu maksud 0,8 koormusega</t>
  </si>
  <si>
    <t>Õpetaja abi palgatõus 1in</t>
  </si>
  <si>
    <t>Õpetaja abi palgatõus 2in</t>
  </si>
  <si>
    <t>Vinni LA kokk palgatõus</t>
  </si>
  <si>
    <t>Pajusti LA kokk palgatõus</t>
  </si>
  <si>
    <t>Kulina LA kokk palgatõus</t>
  </si>
  <si>
    <t>Tudu kool kokk palgatõus</t>
  </si>
  <si>
    <t>Laekvere kooli kokk palgatõus</t>
  </si>
  <si>
    <t>Vinni LA kokk palgatõusu maksud</t>
  </si>
  <si>
    <t>Pajusti LA kokk palgatõusu maksud</t>
  </si>
  <si>
    <t>Kulina LA kokk palgatõus maksud</t>
  </si>
  <si>
    <t>Tudu kool kokk palgatõusu maksud</t>
  </si>
  <si>
    <t>Laekvere kooli kokk palgatõusu maksud</t>
  </si>
  <si>
    <t>Laekvere kooli köögitöölise palgatõus</t>
  </si>
  <si>
    <t>Laekvere kooli köögitöölise palgatõusu maksud</t>
  </si>
  <si>
    <t>Pajusti LA juhataja palgatõus</t>
  </si>
  <si>
    <t>VPG majandusjuhataja palgatõus</t>
  </si>
  <si>
    <t>VPG köögitööliste palgatõusu maksud</t>
  </si>
  <si>
    <t>VPG köögitööliste palgatõus</t>
  </si>
  <si>
    <t>Laekvere RM juhataja palgatõus</t>
  </si>
  <si>
    <t>Laekvere RM hoidja palgatõus</t>
  </si>
  <si>
    <t>Laekvere RM juhataja palgatõusu maksud</t>
  </si>
  <si>
    <t>Laekvere RM hoidja palgatõusu maksud</t>
  </si>
  <si>
    <t>Vinni LA majandusjuhataja palgatõusu maksud</t>
  </si>
  <si>
    <t xml:space="preserve">Vinni LA majandusjuhataja palgatõus </t>
  </si>
  <si>
    <t>Traktorist-majandustööline palgatõus</t>
  </si>
  <si>
    <t>Heakorra ja remonditööline palgatõus</t>
  </si>
  <si>
    <t>Traktorist-majandustöölise ja heakorratöölise palgatõusu maksud</t>
  </si>
  <si>
    <t>Kalmistuvahtide palgatõus</t>
  </si>
  <si>
    <t>Kalmistuvahtide palgatõusu maksud</t>
  </si>
  <si>
    <t>Spordihoone juhataja palgatõus</t>
  </si>
  <si>
    <t>Spordihoone juhataja palgatõusu maksud</t>
  </si>
  <si>
    <t>Elektri käiduleping (Enno Mandel)</t>
  </si>
  <si>
    <t>Viru-Jaagupi RM juhataja palgatõus</t>
  </si>
  <si>
    <t>Vinni RM juhataja palgatõus</t>
  </si>
  <si>
    <t>Vinni RM hoidja palgatõus</t>
  </si>
  <si>
    <t>Ulvi RM juhataja palgatõus</t>
  </si>
  <si>
    <t>Roela RM juhataja palgatõus</t>
  </si>
  <si>
    <t>Tudu RM juhataja palgatõus</t>
  </si>
  <si>
    <t>Viru-Jaagupi RM juhataja palgatõusu maksud</t>
  </si>
  <si>
    <t>Vinni RM juhataja palgatõusu maksud</t>
  </si>
  <si>
    <t>Vinni RM hoidja palgatõusu maksud</t>
  </si>
  <si>
    <t>Ulvi RM juhataja palgatõus maksud</t>
  </si>
  <si>
    <t>Roela RM juhataja palgatõus maksud</t>
  </si>
  <si>
    <t>Tudu RM juhataja palgatõus maksud</t>
  </si>
  <si>
    <t>Juhataja palgatõus</t>
  </si>
  <si>
    <t>Juhataja palgatõusu maksud</t>
  </si>
  <si>
    <t>Direktori palgatõus</t>
  </si>
  <si>
    <t>Direktori palgatõusu maksud</t>
  </si>
  <si>
    <t>Kulina LA juhataja palgatõus</t>
  </si>
  <si>
    <t>Kulina LA juhataja palgatõusu maksud</t>
  </si>
  <si>
    <t>Kokk palgatõus</t>
  </si>
  <si>
    <t>Abitööline palgatõus</t>
  </si>
  <si>
    <t>Noorsootöötaja palgatõus</t>
  </si>
  <si>
    <t>Koristaja + lisatasu 100€</t>
  </si>
  <si>
    <t>Koristaja 0,7 kohta</t>
  </si>
  <si>
    <t>Koristaja 0,9 kohta</t>
  </si>
  <si>
    <t>Majandusjuhataja palgatõus</t>
  </si>
  <si>
    <t>Kokk palgatõusu maksud</t>
  </si>
  <si>
    <t>Abitööline palgatõusu maksud</t>
  </si>
  <si>
    <t>Noorsootöötaja palgatõusu maksud</t>
  </si>
  <si>
    <t>Majandusjuhataja palgatõusu maksud</t>
  </si>
  <si>
    <t>Raamatukoguhoidja palgatõus</t>
  </si>
  <si>
    <t>Raamatukoguhoidja palgatõusu maksud</t>
  </si>
  <si>
    <t>Sekretäri palgatõus</t>
  </si>
  <si>
    <t>Sekretäri palgatõusu maksud</t>
  </si>
  <si>
    <t>Abitööline (koristaja 0,5+köögiabitööline 0,5)</t>
  </si>
  <si>
    <t>Infojuhi palgatõus</t>
  </si>
  <si>
    <t>Infojuhi palgatõusu maksud</t>
  </si>
  <si>
    <t>VPG kokk palgatõus</t>
  </si>
  <si>
    <t>VPG kokk palgatõusu maksud</t>
  </si>
  <si>
    <t>Juhataja-kokk palgatõus</t>
  </si>
  <si>
    <t>Juhataja-kokk palgatõusu maksud</t>
  </si>
  <si>
    <t>Sotsiaalpedagoog (Külmallik)</t>
  </si>
  <si>
    <t>Logopeed (eripedagoog Lumiste)</t>
  </si>
  <si>
    <t>Tugiisik (T.Raudmäe) lepinguga palgatõus</t>
  </si>
  <si>
    <t>Tugiisik (T.Raudmäe) lepinguga palgatõusu maksud</t>
  </si>
  <si>
    <t>Sööklasse rulood</t>
  </si>
  <si>
    <t>Sotsiaalpedagoog (sisaldab lisatasu 195)</t>
  </si>
  <si>
    <t>Sotsiaalpedagoogi palgatõus</t>
  </si>
  <si>
    <t>Sotsiaalpedagoogi palgatõusu maksud</t>
  </si>
  <si>
    <t>Öökasvataja (sisaldab lisatasu 195€)</t>
  </si>
  <si>
    <t>Öökasvataja palgatõus</t>
  </si>
  <si>
    <t>Öökasvataja palgatõusu maksud</t>
  </si>
  <si>
    <t xml:space="preserve">Tolmuimeja  </t>
  </si>
  <si>
    <t>Elektripaigaldiste audit</t>
  </si>
  <si>
    <t>Madratsid 10tk</t>
  </si>
  <si>
    <t>Kummutid 2tk</t>
  </si>
  <si>
    <t>Klassimööbel</t>
  </si>
  <si>
    <t>Lasteaed Tõrutõnn rühmaruumide rekonstrueerimine</t>
  </si>
  <si>
    <t>Külmik</t>
  </si>
  <si>
    <t>Veekeetja, röster</t>
  </si>
  <si>
    <t>Projekt "Virumaa Soome hüpe" 2022.a osalus</t>
  </si>
  <si>
    <t>kas valla koosseisu ja kuhu luuakse noortekad</t>
  </si>
  <si>
    <t>Juubelid (sh.8 vallavalitsus, 8 hallatavat asutust)</t>
  </si>
  <si>
    <t>Juubelitega seotud maksud</t>
  </si>
  <si>
    <t>Kalendermärkmikud</t>
  </si>
  <si>
    <t>Arhiivitarvikud ja hävitamisteenus</t>
  </si>
  <si>
    <t>Koolituskulud (Rauno)</t>
  </si>
  <si>
    <t>Koolituskulud (kantselei)</t>
  </si>
  <si>
    <t>Riigihanke teabevara ja Töötervishoid ja -ohutus(Äripäev)</t>
  </si>
  <si>
    <t>Muud IT vajadused</t>
  </si>
  <si>
    <t>Turismiga seotud teadetetahvlid</t>
  </si>
  <si>
    <t>Volikogu aseesimees</t>
  </si>
  <si>
    <t>Pedagoogilised vahendid õpetajate töötasudeks</t>
  </si>
  <si>
    <t>Pedagoogilised koolitusvahendid</t>
  </si>
  <si>
    <t>Pedagoogiliste õppevahendite eraldis</t>
  </si>
  <si>
    <t>Pedagoogilised vahendid direktori töötasuks</t>
  </si>
  <si>
    <t xml:space="preserve">Muuga-Laekvere Kool </t>
  </si>
  <si>
    <t>Pedagoogilised vahendid direktori, õppealajuhataja jt töötasuks</t>
  </si>
  <si>
    <t>Pedagoogiliste vahendite reserv</t>
  </si>
  <si>
    <t>Ühendamine?</t>
  </si>
  <si>
    <t>Laekvere kooli poiste tööõpetuse klassi väljaehitamine ja staadioni kaasajastamine</t>
  </si>
  <si>
    <t>Laekvere Kool</t>
  </si>
  <si>
    <t>COVID19 lisainvesteeringute toetus 2021.a</t>
  </si>
  <si>
    <t>Vinni-Mõdriku kergtee valgustuse rajamine</t>
  </si>
  <si>
    <t>06</t>
  </si>
  <si>
    <t>Viru-Jaagupi raamatukogu rekonstrueerimistööd</t>
  </si>
  <si>
    <t>Esmaabi koolitus</t>
  </si>
  <si>
    <t>Pedagoogilised vahendid direktori ja õppealajuhataja töötasuks</t>
  </si>
  <si>
    <t>Tammiku kodu kohatasu (17inx12x605)</t>
  </si>
  <si>
    <t>Tammiku kodu kohatasu hinnatõus 145€ (17inx11x145) al.01.02.2021</t>
  </si>
  <si>
    <t>Ulvi kodu kohatasu hinnatõus 120€  (28inx11x120) al. 01.02.2021</t>
  </si>
  <si>
    <t>50</t>
  </si>
  <si>
    <t>Column Labels</t>
  </si>
  <si>
    <t>Laekvere raamatukogu laenutuskapp (katuserahad)</t>
  </si>
  <si>
    <t>Laekvere tööõpetuseklassi inventar ja Vinni Spordikompleksi renoveerimiseks (katuseraha)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</si>
</sst>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charset val="186"/>
      <scheme val="minor"/>
    </font>
    <font>
      <sz val="11"/>
      <color theme="1"/>
      <name val="Calibri"/>
      <family val="2"/>
      <charset val="186"/>
      <scheme val="minor"/>
    </font>
    <font>
      <sz val="11"/>
      <color theme="1"/>
      <name val="Calibri"/>
      <family val="2"/>
      <scheme val="minor"/>
    </font>
    <font>
      <b/>
      <sz val="8"/>
      <name val="Arial"/>
      <family val="2"/>
      <charset val="186"/>
    </font>
    <font>
      <sz val="8"/>
      <color theme="1"/>
      <name val="Calibri"/>
      <family val="2"/>
      <scheme val="minor"/>
    </font>
    <font>
      <b/>
      <sz val="8"/>
      <color theme="1"/>
      <name val="Calibri"/>
      <family val="2"/>
      <charset val="186"/>
      <scheme val="minor"/>
    </font>
    <font>
      <b/>
      <sz val="8"/>
      <color theme="1"/>
      <name val="Calibri"/>
      <family val="2"/>
      <scheme val="minor"/>
    </font>
    <font>
      <sz val="8"/>
      <name val="Arial"/>
      <family val="2"/>
      <charset val="186"/>
    </font>
    <font>
      <i/>
      <sz val="8"/>
      <name val="Arial"/>
      <family val="2"/>
    </font>
    <font>
      <sz val="8"/>
      <name val="Arial"/>
      <family val="2"/>
    </font>
    <font>
      <i/>
      <sz val="8"/>
      <color theme="1"/>
      <name val="Calibri"/>
      <family val="2"/>
      <scheme val="minor"/>
    </font>
    <font>
      <i/>
      <sz val="8"/>
      <name val="Arial"/>
      <family val="2"/>
      <charset val="186"/>
    </font>
    <font>
      <b/>
      <sz val="9"/>
      <color indexed="81"/>
      <name val="Tahoma"/>
      <family val="2"/>
    </font>
    <font>
      <sz val="9"/>
      <color indexed="81"/>
      <name val="Tahoma"/>
      <family val="2"/>
    </font>
    <font>
      <sz val="11"/>
      <name val="Arial"/>
      <family val="1"/>
    </font>
    <font>
      <sz val="11"/>
      <name val="Arial"/>
      <family val="2"/>
    </font>
    <font>
      <sz val="9"/>
      <color indexed="81"/>
      <name val="Arial"/>
      <family val="2"/>
    </font>
    <font>
      <sz val="8"/>
      <color theme="1"/>
      <name val="Arial"/>
      <family val="2"/>
    </font>
    <font>
      <sz val="11"/>
      <name val="Arial"/>
      <family val="2"/>
    </font>
    <font>
      <b/>
      <sz val="8"/>
      <color theme="1"/>
      <name val="Arial"/>
      <family val="2"/>
    </font>
    <font>
      <sz val="11"/>
      <name val="Arial"/>
      <family val="2"/>
    </font>
    <font>
      <sz val="9"/>
      <color indexed="81"/>
      <name val="Segoe UI"/>
      <family val="2"/>
    </font>
    <font>
      <b/>
      <sz val="9"/>
      <color indexed="81"/>
      <name val="Segoe UI"/>
      <family val="2"/>
    </font>
    <font>
      <sz val="9"/>
      <color indexed="81"/>
      <name val="Segoe UI"/>
      <family val="2"/>
      <charset val="186"/>
    </font>
    <font>
      <b/>
      <sz val="9"/>
      <color indexed="81"/>
      <name val="Segoe UI"/>
      <family val="2"/>
      <charset val="186"/>
    </font>
    <font>
      <sz val="11"/>
      <name val="Arial"/>
      <family val="2"/>
      <charset val="186"/>
    </font>
    <font>
      <sz val="11"/>
      <name val="Arial"/>
      <family val="2"/>
    </font>
    <font>
      <sz val="11"/>
      <name val="Arial"/>
      <family val="2"/>
    </font>
    <font>
      <sz val="11"/>
      <name val="Arial"/>
    </font>
    <font>
      <sz val="8"/>
      <color theme="1"/>
      <name val="Arial"/>
    </font>
  </fonts>
  <fills count="8">
    <fill>
      <patternFill patternType="none"/>
    </fill>
    <fill>
      <patternFill patternType="gray125"/>
    </fill>
    <fill>
      <patternFill patternType="solid">
        <fgColor rgb="FFD9E1F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s>
  <borders count="11">
    <border>
      <left/>
      <right/>
      <top/>
      <bottom/>
      <diagonal/>
    </border>
    <border>
      <left/>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8"/>
      </left>
      <right/>
      <top style="hair">
        <color indexed="8"/>
      </top>
      <bottom style="hair">
        <color indexed="8"/>
      </bottom>
      <diagonal/>
    </border>
    <border>
      <left/>
      <right/>
      <top/>
      <bottom style="thin">
        <color indexed="64"/>
      </bottom>
      <diagonal/>
    </border>
    <border>
      <left style="hair">
        <color indexed="8"/>
      </left>
      <right/>
      <top/>
      <bottom/>
      <diagonal/>
    </border>
  </borders>
  <cellStyleXfs count="4">
    <xf numFmtId="0" fontId="0" fillId="0" borderId="0"/>
    <xf numFmtId="9" fontId="1" fillId="0" borderId="0" applyFont="0" applyFill="0" applyBorder="0" applyAlignment="0" applyProtection="0"/>
    <xf numFmtId="0" fontId="2" fillId="0" borderId="0"/>
    <xf numFmtId="0" fontId="14" fillId="0" borderId="0"/>
  </cellStyleXfs>
  <cellXfs count="147">
    <xf numFmtId="0" fontId="0" fillId="0" borderId="0" xfId="0"/>
    <xf numFmtId="0" fontId="3" fillId="0" borderId="0" xfId="2" applyFont="1" applyBorder="1" applyAlignment="1"/>
    <xf numFmtId="0" fontId="4" fillId="0" borderId="0" xfId="2" applyFont="1"/>
    <xf numFmtId="10" fontId="4" fillId="0" borderId="0" xfId="1" applyNumberFormat="1" applyFont="1"/>
    <xf numFmtId="0" fontId="5" fillId="0" borderId="0" xfId="2" applyFont="1" applyAlignment="1">
      <alignment horizontal="center"/>
    </xf>
    <xf numFmtId="0" fontId="6" fillId="0" borderId="0" xfId="2" applyFont="1" applyAlignment="1">
      <alignment horizontal="center"/>
    </xf>
    <xf numFmtId="4" fontId="3" fillId="0" borderId="2" xfId="2" applyNumberFormat="1" applyFont="1" applyBorder="1" applyAlignment="1">
      <alignment horizontal="right" vertical="center"/>
    </xf>
    <xf numFmtId="10" fontId="3" fillId="0" borderId="2" xfId="1" applyNumberFormat="1" applyFont="1" applyBorder="1" applyAlignment="1">
      <alignment horizontal="right" vertical="center"/>
    </xf>
    <xf numFmtId="0" fontId="3" fillId="0" borderId="2" xfId="2" applyFont="1" applyBorder="1" applyAlignment="1">
      <alignment horizontal="left" vertical="center"/>
    </xf>
    <xf numFmtId="3" fontId="7" fillId="0" borderId="2" xfId="2" applyNumberFormat="1" applyFont="1" applyBorder="1" applyAlignment="1">
      <alignment horizontal="right" vertical="center"/>
    </xf>
    <xf numFmtId="10" fontId="7" fillId="0" borderId="2" xfId="1" applyNumberFormat="1" applyFont="1" applyBorder="1" applyAlignment="1">
      <alignment horizontal="right" vertical="center"/>
    </xf>
    <xf numFmtId="0" fontId="3" fillId="2" borderId="2" xfId="2" applyFont="1" applyFill="1" applyBorder="1" applyAlignment="1">
      <alignment horizontal="left" vertical="center"/>
    </xf>
    <xf numFmtId="3" fontId="7" fillId="2" borderId="2" xfId="2" applyNumberFormat="1" applyFont="1" applyFill="1" applyBorder="1" applyAlignment="1">
      <alignment horizontal="right" vertical="center"/>
    </xf>
    <xf numFmtId="10" fontId="7" fillId="2" borderId="2" xfId="1" applyNumberFormat="1" applyFont="1" applyFill="1" applyBorder="1" applyAlignment="1">
      <alignment horizontal="right" vertical="center"/>
    </xf>
    <xf numFmtId="0" fontId="3" fillId="2" borderId="2" xfId="2" applyFont="1" applyFill="1" applyBorder="1" applyAlignment="1">
      <alignment vertical="center"/>
    </xf>
    <xf numFmtId="3" fontId="7" fillId="0" borderId="2" xfId="2" applyNumberFormat="1" applyFont="1" applyFill="1" applyBorder="1" applyAlignment="1">
      <alignment horizontal="right" vertical="center"/>
    </xf>
    <xf numFmtId="3" fontId="3" fillId="2" borderId="2" xfId="2" applyNumberFormat="1" applyFont="1" applyFill="1" applyBorder="1" applyAlignment="1">
      <alignment horizontal="right" vertical="center"/>
    </xf>
    <xf numFmtId="10" fontId="3" fillId="2" borderId="2" xfId="1" applyNumberFormat="1" applyFont="1" applyFill="1" applyBorder="1" applyAlignment="1">
      <alignment horizontal="right" vertical="center"/>
    </xf>
    <xf numFmtId="0" fontId="3" fillId="3" borderId="2" xfId="2" applyFont="1" applyFill="1" applyBorder="1" applyAlignment="1">
      <alignment horizontal="left" vertical="center"/>
    </xf>
    <xf numFmtId="3" fontId="7" fillId="3" borderId="2" xfId="2" applyNumberFormat="1" applyFont="1" applyFill="1" applyBorder="1" applyAlignment="1">
      <alignment horizontal="right" vertical="center"/>
    </xf>
    <xf numFmtId="10" fontId="7" fillId="3" borderId="2" xfId="1" applyNumberFormat="1" applyFont="1" applyFill="1" applyBorder="1" applyAlignment="1">
      <alignment horizontal="right" vertical="center"/>
    </xf>
    <xf numFmtId="3" fontId="3" fillId="3" borderId="2" xfId="2" applyNumberFormat="1" applyFont="1" applyFill="1" applyBorder="1" applyAlignment="1">
      <alignment horizontal="right" vertical="center"/>
    </xf>
    <xf numFmtId="10" fontId="3" fillId="3" borderId="2" xfId="1" applyNumberFormat="1" applyFont="1" applyFill="1" applyBorder="1" applyAlignment="1">
      <alignment horizontal="right" vertical="center"/>
    </xf>
    <xf numFmtId="3" fontId="4" fillId="0" borderId="0" xfId="2" applyNumberFormat="1" applyFont="1"/>
    <xf numFmtId="10" fontId="4" fillId="0" borderId="0" xfId="2" applyNumberFormat="1" applyFont="1"/>
    <xf numFmtId="0" fontId="3" fillId="0" borderId="2" xfId="2" applyFont="1" applyFill="1" applyBorder="1" applyAlignment="1">
      <alignment vertical="center"/>
    </xf>
    <xf numFmtId="10" fontId="7" fillId="0" borderId="2" xfId="1" applyNumberFormat="1" applyFont="1" applyFill="1" applyBorder="1" applyAlignment="1">
      <alignment horizontal="right" vertical="center"/>
    </xf>
    <xf numFmtId="0" fontId="3" fillId="3" borderId="2" xfId="2" applyFont="1" applyFill="1" applyBorder="1" applyAlignment="1">
      <alignment vertical="center"/>
    </xf>
    <xf numFmtId="0" fontId="8" fillId="0" borderId="2" xfId="2" applyFont="1" applyBorder="1" applyAlignment="1">
      <alignment horizontal="right" vertical="center"/>
    </xf>
    <xf numFmtId="3" fontId="8" fillId="0" borderId="2" xfId="2" applyNumberFormat="1" applyFont="1" applyFill="1" applyBorder="1" applyAlignment="1">
      <alignment horizontal="right" vertical="center"/>
    </xf>
    <xf numFmtId="3" fontId="9" fillId="3" borderId="2" xfId="2" applyNumberFormat="1" applyFont="1" applyFill="1" applyBorder="1" applyAlignment="1">
      <alignment horizontal="right" vertical="center"/>
    </xf>
    <xf numFmtId="0" fontId="10" fillId="0" borderId="0" xfId="2" applyFont="1"/>
    <xf numFmtId="3" fontId="10" fillId="0" borderId="0" xfId="2" applyNumberFormat="1" applyFont="1"/>
    <xf numFmtId="3" fontId="11" fillId="0" borderId="2" xfId="2" applyNumberFormat="1" applyFont="1" applyBorder="1" applyAlignment="1">
      <alignment horizontal="right" vertical="center"/>
    </xf>
    <xf numFmtId="10" fontId="11" fillId="0" borderId="2" xfId="1" applyNumberFormat="1" applyFont="1" applyBorder="1" applyAlignment="1">
      <alignment horizontal="right" vertical="center"/>
    </xf>
    <xf numFmtId="3" fontId="11" fillId="0" borderId="2" xfId="2" applyNumberFormat="1" applyFont="1" applyFill="1" applyBorder="1" applyAlignment="1">
      <alignment horizontal="right" vertical="center"/>
    </xf>
    <xf numFmtId="0" fontId="10" fillId="0" borderId="0" xfId="2" applyFont="1" applyAlignment="1">
      <alignment horizontal="right"/>
    </xf>
    <xf numFmtId="0" fontId="11" fillId="0" borderId="2" xfId="2" applyFont="1" applyBorder="1" applyAlignment="1">
      <alignment horizontal="right" vertical="center"/>
    </xf>
    <xf numFmtId="0" fontId="3" fillId="0" borderId="2" xfId="2" applyFont="1" applyFill="1" applyBorder="1" applyAlignment="1">
      <alignment horizontal="left" vertical="center"/>
    </xf>
    <xf numFmtId="9" fontId="4" fillId="0" borderId="0" xfId="1" applyFont="1"/>
    <xf numFmtId="0" fontId="3" fillId="0" borderId="2" xfId="2" applyFont="1" applyBorder="1" applyAlignment="1">
      <alignment horizontal="left" vertical="center"/>
    </xf>
    <xf numFmtId="0" fontId="14" fillId="0" borderId="0" xfId="3"/>
    <xf numFmtId="0" fontId="14" fillId="0" borderId="0" xfId="3" applyFill="1"/>
    <xf numFmtId="0" fontId="0" fillId="4" borderId="0" xfId="0" applyFill="1"/>
    <xf numFmtId="0" fontId="0" fillId="0" borderId="0" xfId="0" applyFill="1"/>
    <xf numFmtId="0" fontId="0" fillId="5" borderId="0" xfId="0" applyFill="1"/>
    <xf numFmtId="0" fontId="0" fillId="4" borderId="0" xfId="0" quotePrefix="1" applyFill="1"/>
    <xf numFmtId="0" fontId="0" fillId="0" borderId="0" xfId="0" quotePrefix="1"/>
    <xf numFmtId="0" fontId="0" fillId="0" borderId="0" xfId="0" pivotButton="1"/>
    <xf numFmtId="0" fontId="0" fillId="0" borderId="0" xfId="0" applyAlignment="1">
      <alignment horizontal="left"/>
    </xf>
    <xf numFmtId="0" fontId="0" fillId="0" borderId="0" xfId="0" applyAlignment="1">
      <alignment horizontal="left" indent="1"/>
    </xf>
    <xf numFmtId="4" fontId="0" fillId="0" borderId="0" xfId="0" applyNumberFormat="1"/>
    <xf numFmtId="0" fontId="14" fillId="0" borderId="0" xfId="3" applyNumberFormat="1"/>
    <xf numFmtId="0" fontId="14" fillId="0" borderId="0" xfId="3" applyNumberFormat="1" applyFill="1"/>
    <xf numFmtId="0" fontId="0" fillId="6" borderId="0" xfId="0" applyFill="1"/>
    <xf numFmtId="0" fontId="0" fillId="0" borderId="0" xfId="0" quotePrefix="1" applyFill="1"/>
    <xf numFmtId="0" fontId="14" fillId="6" borderId="0" xfId="3" applyFill="1"/>
    <xf numFmtId="0" fontId="14" fillId="4" borderId="0" xfId="3" applyFill="1"/>
    <xf numFmtId="0" fontId="15" fillId="0" borderId="0" xfId="3" applyFont="1"/>
    <xf numFmtId="0" fontId="0" fillId="7" borderId="0" xfId="0" applyFill="1"/>
    <xf numFmtId="0" fontId="14" fillId="4" borderId="0" xfId="3" applyNumberFormat="1" applyFill="1"/>
    <xf numFmtId="0" fontId="10" fillId="0" borderId="0" xfId="2" applyFont="1" applyAlignment="1">
      <alignment horizontal="left"/>
    </xf>
    <xf numFmtId="0" fontId="15" fillId="0" borderId="0" xfId="3" applyFont="1" applyFill="1"/>
    <xf numFmtId="4" fontId="14" fillId="0" borderId="0" xfId="3" applyNumberFormat="1"/>
    <xf numFmtId="2" fontId="14" fillId="0" borderId="0" xfId="3" applyNumberFormat="1"/>
    <xf numFmtId="0" fontId="11" fillId="0" borderId="2" xfId="2" applyFont="1" applyFill="1" applyBorder="1" applyAlignment="1">
      <alignment horizontal="right" vertical="center"/>
    </xf>
    <xf numFmtId="2" fontId="14" fillId="0" borderId="0" xfId="3" applyNumberFormat="1" applyFill="1"/>
    <xf numFmtId="3" fontId="14" fillId="0" borderId="0" xfId="3" applyNumberFormat="1" applyFill="1"/>
    <xf numFmtId="0" fontId="14" fillId="0" borderId="0" xfId="3"/>
    <xf numFmtId="0" fontId="17" fillId="0" borderId="0" xfId="0" applyFont="1"/>
    <xf numFmtId="0" fontId="17" fillId="0" borderId="0" xfId="0" applyFont="1" applyBorder="1"/>
    <xf numFmtId="0" fontId="3" fillId="0" borderId="2" xfId="2" applyFont="1" applyBorder="1" applyAlignment="1">
      <alignment horizontal="left" vertical="center"/>
    </xf>
    <xf numFmtId="0" fontId="3" fillId="2" borderId="2" xfId="2" applyFont="1" applyFill="1" applyBorder="1" applyAlignment="1">
      <alignment horizontal="left" vertical="center"/>
    </xf>
    <xf numFmtId="0" fontId="3" fillId="3" borderId="2" xfId="2" applyFont="1" applyFill="1" applyBorder="1" applyAlignment="1">
      <alignment horizontal="left" vertical="center"/>
    </xf>
    <xf numFmtId="0" fontId="18" fillId="0" borderId="0" xfId="3" applyNumberFormat="1" applyFont="1" applyFill="1"/>
    <xf numFmtId="0" fontId="3" fillId="2" borderId="8" xfId="2" applyFont="1" applyFill="1" applyBorder="1" applyAlignment="1">
      <alignment vertical="center"/>
    </xf>
    <xf numFmtId="0" fontId="3" fillId="2" borderId="8" xfId="2" applyFont="1" applyFill="1" applyBorder="1" applyAlignment="1">
      <alignment horizontal="center" vertical="center"/>
    </xf>
    <xf numFmtId="0" fontId="4" fillId="4" borderId="9" xfId="2" applyFont="1" applyFill="1" applyBorder="1"/>
    <xf numFmtId="3" fontId="4" fillId="4" borderId="9" xfId="2" applyNumberFormat="1" applyFont="1" applyFill="1" applyBorder="1"/>
    <xf numFmtId="0" fontId="19" fillId="0" borderId="0" xfId="0" applyFont="1"/>
    <xf numFmtId="4" fontId="3" fillId="0" borderId="2" xfId="2" applyNumberFormat="1" applyFont="1" applyBorder="1" applyAlignment="1">
      <alignment horizontal="right" vertical="center" wrapText="1"/>
    </xf>
    <xf numFmtId="0" fontId="20" fillId="0" borderId="0" xfId="3" applyFont="1" applyFill="1"/>
    <xf numFmtId="0" fontId="20" fillId="0" borderId="0" xfId="3" applyNumberFormat="1" applyFont="1" applyFill="1"/>
    <xf numFmtId="0" fontId="8" fillId="4" borderId="2" xfId="2" applyFont="1" applyFill="1" applyBorder="1" applyAlignment="1">
      <alignment horizontal="right" vertical="center"/>
    </xf>
    <xf numFmtId="3" fontId="11" fillId="4" borderId="2" xfId="2" applyNumberFormat="1" applyFont="1" applyFill="1" applyBorder="1" applyAlignment="1">
      <alignment horizontal="right" vertical="center"/>
    </xf>
    <xf numFmtId="3" fontId="8" fillId="4" borderId="2" xfId="2" applyNumberFormat="1" applyFont="1" applyFill="1" applyBorder="1" applyAlignment="1">
      <alignment horizontal="right" vertical="center"/>
    </xf>
    <xf numFmtId="10" fontId="11" fillId="4" borderId="2" xfId="1" applyNumberFormat="1" applyFont="1" applyFill="1" applyBorder="1" applyAlignment="1">
      <alignment horizontal="right" vertical="center"/>
    </xf>
    <xf numFmtId="0" fontId="11" fillId="4" borderId="2" xfId="2" applyFont="1" applyFill="1" applyBorder="1" applyAlignment="1">
      <alignment horizontal="right" vertical="center"/>
    </xf>
    <xf numFmtId="4" fontId="14" fillId="4" borderId="0" xfId="3" applyNumberFormat="1" applyFill="1"/>
    <xf numFmtId="0" fontId="14" fillId="4" borderId="0" xfId="3" quotePrefix="1" applyFill="1"/>
    <xf numFmtId="0" fontId="20" fillId="4" borderId="0" xfId="3" quotePrefix="1" applyFont="1" applyFill="1"/>
    <xf numFmtId="0" fontId="20" fillId="4" borderId="0" xfId="3" applyNumberFormat="1" applyFont="1" applyFill="1"/>
    <xf numFmtId="0" fontId="15" fillId="4" borderId="0" xfId="3" applyFont="1" applyFill="1"/>
    <xf numFmtId="3" fontId="14" fillId="0" borderId="0" xfId="3" applyNumberFormat="1"/>
    <xf numFmtId="0" fontId="3" fillId="4" borderId="2" xfId="2" applyFont="1" applyFill="1" applyBorder="1" applyAlignment="1">
      <alignment horizontal="left" vertical="center"/>
    </xf>
    <xf numFmtId="3" fontId="7" fillId="4" borderId="2" xfId="2" applyNumberFormat="1" applyFont="1" applyFill="1" applyBorder="1" applyAlignment="1">
      <alignment horizontal="right" vertical="center"/>
    </xf>
    <xf numFmtId="2" fontId="14" fillId="4" borderId="0" xfId="3" applyNumberFormat="1" applyFill="1"/>
    <xf numFmtId="10" fontId="11" fillId="0" borderId="2" xfId="1" applyNumberFormat="1" applyFont="1" applyFill="1" applyBorder="1" applyAlignment="1">
      <alignment horizontal="right" vertical="center"/>
    </xf>
    <xf numFmtId="0" fontId="14" fillId="0" borderId="0" xfId="3" quotePrefix="1" applyFill="1"/>
    <xf numFmtId="4" fontId="14" fillId="0" borderId="0" xfId="3" applyNumberFormat="1" applyFill="1"/>
    <xf numFmtId="0" fontId="25" fillId="0" borderId="0" xfId="3" applyNumberFormat="1" applyFont="1" applyFill="1"/>
    <xf numFmtId="0" fontId="8" fillId="0" borderId="2" xfId="2" applyFont="1" applyFill="1" applyBorder="1" applyAlignment="1">
      <alignment horizontal="right" vertical="center"/>
    </xf>
    <xf numFmtId="0" fontId="15" fillId="0" borderId="0" xfId="3" quotePrefix="1" applyFont="1"/>
    <xf numFmtId="0" fontId="20" fillId="0" borderId="0" xfId="3" quotePrefix="1" applyFont="1" applyFill="1"/>
    <xf numFmtId="0" fontId="15" fillId="0" borderId="0" xfId="3" applyNumberFormat="1" applyFont="1" applyFill="1"/>
    <xf numFmtId="0" fontId="15" fillId="0" borderId="0" xfId="3" quotePrefix="1" applyFont="1" applyFill="1"/>
    <xf numFmtId="3" fontId="0" fillId="0" borderId="0" xfId="0" applyNumberFormat="1"/>
    <xf numFmtId="0" fontId="14" fillId="5" borderId="0" xfId="3" applyFill="1"/>
    <xf numFmtId="0" fontId="14" fillId="5" borderId="0" xfId="3" applyNumberFormat="1" applyFill="1"/>
    <xf numFmtId="0" fontId="15" fillId="5" borderId="0" xfId="3" applyFont="1" applyFill="1"/>
    <xf numFmtId="0" fontId="20" fillId="4" borderId="0" xfId="3" applyFont="1" applyFill="1"/>
    <xf numFmtId="0" fontId="15" fillId="4" borderId="0" xfId="3" applyNumberFormat="1" applyFont="1" applyFill="1"/>
    <xf numFmtId="0" fontId="26" fillId="0" borderId="0" xfId="3" applyNumberFormat="1" applyFont="1" applyFill="1"/>
    <xf numFmtId="0" fontId="27" fillId="0" borderId="0" xfId="3" applyFont="1" applyFill="1"/>
    <xf numFmtId="0" fontId="27" fillId="0" borderId="0" xfId="3" applyNumberFormat="1" applyFont="1" applyFill="1"/>
    <xf numFmtId="10" fontId="7" fillId="4" borderId="2" xfId="1" applyNumberFormat="1" applyFont="1" applyFill="1" applyBorder="1" applyAlignment="1">
      <alignment horizontal="right" vertical="center"/>
    </xf>
    <xf numFmtId="0" fontId="28" fillId="0" borderId="0" xfId="3" applyNumberFormat="1" applyFont="1" applyFill="1"/>
    <xf numFmtId="0" fontId="0" fillId="0" borderId="0" xfId="0" applyAlignment="1">
      <alignment horizontal="left" indent="2"/>
    </xf>
    <xf numFmtId="0" fontId="15" fillId="0" borderId="0" xfId="0" applyNumberFormat="1" applyFont="1" applyFill="1" applyBorder="1" applyAlignment="1" applyProtection="1"/>
    <xf numFmtId="0" fontId="28" fillId="0" borderId="0" xfId="3" applyFont="1" applyFill="1"/>
    <xf numFmtId="0" fontId="29" fillId="0" borderId="6" xfId="0" pivotButton="1" applyFont="1" applyBorder="1"/>
    <xf numFmtId="0" fontId="29" fillId="0" borderId="7" xfId="0" applyFont="1" applyBorder="1"/>
    <xf numFmtId="0" fontId="29" fillId="0" borderId="6" xfId="0" applyFont="1" applyBorder="1" applyAlignment="1">
      <alignment horizontal="left"/>
    </xf>
    <xf numFmtId="3" fontId="29" fillId="0" borderId="7" xfId="0" applyNumberFormat="1" applyFont="1" applyBorder="1"/>
    <xf numFmtId="0" fontId="29" fillId="0" borderId="6" xfId="0" applyFont="1" applyBorder="1" applyAlignment="1">
      <alignment horizontal="left" indent="1"/>
    </xf>
    <xf numFmtId="0" fontId="29" fillId="0" borderId="6" xfId="0" applyFont="1" applyBorder="1" applyAlignment="1">
      <alignment horizontal="left" indent="2"/>
    </xf>
    <xf numFmtId="0" fontId="5" fillId="0" borderId="1" xfId="2" applyFont="1" applyBorder="1" applyAlignment="1">
      <alignment horizontal="center"/>
    </xf>
    <xf numFmtId="0" fontId="3" fillId="0" borderId="2" xfId="2" applyFont="1" applyBorder="1" applyAlignment="1">
      <alignment horizontal="left"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2" xfId="2" applyFont="1" applyBorder="1" applyAlignment="1">
      <alignment horizontal="left" vertical="center" wrapText="1"/>
    </xf>
    <xf numFmtId="0" fontId="3" fillId="2" borderId="2" xfId="2" applyFont="1" applyFill="1" applyBorder="1" applyAlignment="1">
      <alignment horizontal="left" vertical="center"/>
    </xf>
    <xf numFmtId="0" fontId="3" fillId="3" borderId="2" xfId="2" applyFont="1" applyFill="1" applyBorder="1" applyAlignment="1">
      <alignment horizontal="left" vertical="center"/>
    </xf>
    <xf numFmtId="0" fontId="3" fillId="0" borderId="2" xfId="2" applyFont="1" applyBorder="1" applyAlignment="1">
      <alignment horizontal="center" vertical="center"/>
    </xf>
    <xf numFmtId="0" fontId="3" fillId="0" borderId="3" xfId="2" applyFont="1" applyFill="1" applyBorder="1" applyAlignment="1">
      <alignment horizontal="left" vertical="center"/>
    </xf>
    <xf numFmtId="0" fontId="3" fillId="0" borderId="5" xfId="2" applyFont="1" applyFill="1" applyBorder="1" applyAlignment="1">
      <alignment horizontal="lef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5" xfId="2" applyFont="1" applyBorder="1" applyAlignment="1">
      <alignment vertical="center"/>
    </xf>
    <xf numFmtId="0" fontId="3" fillId="0" borderId="3" xfId="2" applyFont="1" applyBorder="1" applyAlignment="1">
      <alignment horizontal="left" vertical="center"/>
    </xf>
    <xf numFmtId="0" fontId="3" fillId="0" borderId="5" xfId="2" applyFont="1" applyBorder="1" applyAlignment="1">
      <alignment horizontal="left" vertical="center"/>
    </xf>
    <xf numFmtId="0" fontId="3" fillId="0" borderId="3" xfId="2" applyFont="1" applyBorder="1" applyAlignment="1">
      <alignment horizontal="left" vertical="center" wrapText="1"/>
    </xf>
    <xf numFmtId="0" fontId="3" fillId="0" borderId="4" xfId="2" applyFont="1" applyBorder="1" applyAlignment="1">
      <alignment horizontal="left" vertical="center" wrapText="1"/>
    </xf>
    <xf numFmtId="0" fontId="3" fillId="0" borderId="5" xfId="2" applyFont="1" applyBorder="1" applyAlignment="1">
      <alignment horizontal="left" vertical="center" wrapText="1"/>
    </xf>
    <xf numFmtId="0" fontId="3" fillId="0" borderId="4" xfId="2" applyFont="1" applyBorder="1" applyAlignment="1">
      <alignment horizontal="left" vertical="center"/>
    </xf>
    <xf numFmtId="0" fontId="10" fillId="0" borderId="10" xfId="2" applyFont="1" applyBorder="1" applyAlignment="1">
      <alignment horizontal="center"/>
    </xf>
  </cellXfs>
  <cellStyles count="4">
    <cellStyle name="Normal" xfId="0" builtinId="0"/>
    <cellStyle name="Normal 2" xfId="2"/>
    <cellStyle name="Normal 3" xfId="3"/>
    <cellStyle name="Percent" xfId="1" builtinId="5"/>
  </cellStyles>
  <dxfs count="207">
    <dxf>
      <numFmt numFmtId="0" formatCode="Genera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numFmt numFmtId="0" formatCode="General"/>
    </dxf>
    <dxf>
      <numFmt numFmtId="4" formatCode="#,##0.0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4" formatCode="#,##0.00"/>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1"/>
        <name val="Arial"/>
        <scheme val="none"/>
      </font>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fill>
        <patternFill patternType="none">
          <fgColor indexed="64"/>
          <bgColor indexed="65"/>
        </patternFill>
      </fill>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4" formatCode="#,##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 formatCode="#,##0"/>
    </dxf>
    <dxf>
      <numFmt numFmtId="4" formatCode="#,##0.00"/>
    </dxf>
    <dxf>
      <numFmt numFmtId="4" formatCode="#,##0.00"/>
    </dxf>
    <dxf>
      <numFmt numFmtId="164" formatCode="#,##0.0"/>
    </dxf>
    <dxf>
      <numFmt numFmtId="164" formatCode="#,##0.0"/>
    </dxf>
    <dxf>
      <numFmt numFmtId="3" formatCode="#,##0"/>
    </dxf>
    <dxf>
      <numFmt numFmtId="164" formatCode="#,##0.0"/>
    </dxf>
    <dxf>
      <numFmt numFmtId="3" formatCode="#,##0"/>
    </dxf>
    <dxf>
      <numFmt numFmtId="164" formatCode="#,##0.0"/>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style="hair">
          <color auto="1"/>
        </top>
        <bottom style="hair">
          <color auto="1"/>
        </bottom>
        <vertical style="hair">
          <color auto="1"/>
        </vertical>
        <horizontal style="hair">
          <color auto="1"/>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border>
        <top/>
        <bottom/>
        <vertical/>
        <horizontal/>
      </border>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
      <border>
        <top style="dotted">
          <color auto="1"/>
        </top>
        <bottom style="dotted">
          <color auto="1"/>
        </bottom>
        <vertical style="dotted">
          <color auto="1"/>
        </vertical>
        <horizontal style="dotted">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4E2A-4752-A0B6-82523A395CD3}"/>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4E2A-4752-A0B6-82523A395CD3}"/>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4E2A-4752-A0B6-82523A395CD3}"/>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4E2A-4752-A0B6-82523A395CD3}"/>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4E2A-4752-A0B6-82523A395CD3}"/>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4E2A-4752-A0B6-82523A395CD3}"/>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4E2A-4752-A0B6-82523A395CD3}"/>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4E2A-4752-A0B6-82523A395CD3}"/>
              </c:ext>
            </c:extLst>
          </c:dPt>
          <c:dLbls>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('EA_aruanne analüüs'!$C$5:$C$6,'EA_aruanne analüüs'!$C$8:$C$11,'EA_aruanne analüüs'!$C$13:$C$14)</c:f>
              <c:strCache>
                <c:ptCount val="8"/>
                <c:pt idx="0">
                  <c:v>Füüsilise isiku tulumaks</c:v>
                </c:pt>
                <c:pt idx="1">
                  <c:v>Maamaks</c:v>
                </c:pt>
                <c:pt idx="2">
                  <c:v>Tulud kaupade ja teenuste müügist</c:v>
                </c:pt>
                <c:pt idx="3">
                  <c:v>Tasandusfond</c:v>
                </c:pt>
                <c:pt idx="4">
                  <c:v>Toetusfond</c:v>
                </c:pt>
                <c:pt idx="5">
                  <c:v>Muud saadud toetused tegevuskuludeks</c:v>
                </c:pt>
                <c:pt idx="6">
                  <c:v>Kohaliku tähtsusega maardlate kaevandamisõiguse tasu</c:v>
                </c:pt>
                <c:pt idx="7">
                  <c:v>Laekumine vee erikasutusest</c:v>
                </c:pt>
              </c:strCache>
            </c:strRef>
          </c:cat>
          <c:val>
            <c:numRef>
              <c:f>('EA_aruanne analüüs'!$F$5:$F$6,'EA_aruanne analüüs'!$F$8:$F$11,'EA_aruanne analüüs'!$F$13:$F$14)</c:f>
              <c:numCache>
                <c:formatCode>#,##0</c:formatCode>
                <c:ptCount val="8"/>
                <c:pt idx="0">
                  <c:v>5288424.9875999996</c:v>
                </c:pt>
                <c:pt idx="1">
                  <c:v>490000</c:v>
                </c:pt>
                <c:pt idx="2">
                  <c:v>1620916.4100000001</c:v>
                </c:pt>
                <c:pt idx="3">
                  <c:v>1376806</c:v>
                </c:pt>
                <c:pt idx="4">
                  <c:v>2984584</c:v>
                </c:pt>
                <c:pt idx="5">
                  <c:v>44000</c:v>
                </c:pt>
                <c:pt idx="6">
                  <c:v>17100</c:v>
                </c:pt>
                <c:pt idx="7">
                  <c:v>14900</c:v>
                </c:pt>
              </c:numCache>
            </c:numRef>
          </c:val>
          <c:extLst>
            <c:ext xmlns:c16="http://schemas.microsoft.com/office/drawing/2014/chart" uri="{C3380CC4-5D6E-409C-BE32-E72D297353CC}">
              <c16:uniqueId val="{00000010-4E2A-4752-A0B6-82523A395CD3}"/>
            </c:ext>
          </c:extLst>
        </c:ser>
        <c:dLbls>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1513-4154-ACE2-CFE197F79CD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1513-4154-ACE2-CFE197F79CD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1513-4154-ACE2-CFE197F79CD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1513-4154-ACE2-CFE197F79CD1}"/>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1513-4154-ACE2-CFE197F79CD1}"/>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1513-4154-ACE2-CFE197F79CD1}"/>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955C-423F-BF19-76C24077581D}"/>
              </c:ext>
            </c:extLst>
          </c:dPt>
          <c:dLbls>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'EA_aruanne analüüs'!$O$31:$O$37</c:f>
              <c:strCache>
                <c:ptCount val="7"/>
                <c:pt idx="0">
                  <c:v>Sotsiaalabitoetused ja muud toetused füüsilistele isikutele</c:v>
                </c:pt>
                <c:pt idx="1">
                  <c:v>Sihtotstarbelised toetused tegevuskuludeks</c:v>
                </c:pt>
                <c:pt idx="3">
                  <c:v>Mittesihtotstarbelised toetused</c:v>
                </c:pt>
                <c:pt idx="4">
                  <c:v>Tööjõukulud</c:v>
                </c:pt>
                <c:pt idx="5">
                  <c:v>Majandamiskulud</c:v>
                </c:pt>
                <c:pt idx="6">
                  <c:v>Muud kulud</c:v>
                </c:pt>
              </c:strCache>
            </c:strRef>
          </c:cat>
          <c:val>
            <c:numRef>
              <c:f>'EA_aruanne analüüs'!$R$31:$R$37</c:f>
              <c:numCache>
                <c:formatCode>#,##0</c:formatCode>
                <c:ptCount val="7"/>
                <c:pt idx="0">
                  <c:v>697006</c:v>
                </c:pt>
                <c:pt idx="1">
                  <c:v>323501.48</c:v>
                </c:pt>
                <c:pt idx="3">
                  <c:v>36671</c:v>
                </c:pt>
                <c:pt idx="4">
                  <c:v>6797594.0660000034</c:v>
                </c:pt>
                <c:pt idx="5">
                  <c:v>3872523.3200000003</c:v>
                </c:pt>
                <c:pt idx="6">
                  <c:v>62123.656987999995</c:v>
                </c:pt>
              </c:numCache>
            </c:numRef>
          </c:val>
          <c:extLst>
            <c:ext xmlns:c16="http://schemas.microsoft.com/office/drawing/2014/chart" uri="{C3380CC4-5D6E-409C-BE32-E72D297353CC}">
              <c16:uniqueId val="{0000000C-1513-4154-ACE2-CFE197F79CD1}"/>
            </c:ext>
          </c:extLst>
        </c:ser>
        <c:dLbls>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'EA_aruanne analüüs'!$N$68</c:f>
              <c:strCache>
                <c:ptCount val="1"/>
                <c:pt idx="0">
                  <c:v>Üldised valitsussektori teenused</c:v>
                </c:pt>
              </c:strCache>
            </c:strRef>
          </c:tx>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'EA_aruanne analüüs'!$O$68</c:f>
              <c:numCache>
                <c:formatCode>#,##0</c:formatCode>
                <c:ptCount val="1"/>
                <c:pt idx="0">
                  <c:v>1095238.0169879999</c:v>
                </c:pt>
              </c:numCache>
            </c:numRef>
          </c:val>
          <c:extLst>
            <c:ext xmlns:c16="http://schemas.microsoft.com/office/drawing/2014/chart" uri="{C3380CC4-5D6E-409C-BE32-E72D297353CC}">
              <c16:uniqueId val="{00000000-3910-48A3-A300-944704F95DD7}"/>
            </c:ext>
          </c:extLst>
        </c:ser>
        <c:ser>
          <c:idx val="1"/>
          <c:order val="1"/>
          <c:tx>
            <c:strRef>
              <c:f>'EA_aruanne analüüs'!$N$69</c:f>
              <c:strCache>
                <c:ptCount val="1"/>
                <c:pt idx="0">
                  <c:v>Riigikaitse</c:v>
                </c:pt>
              </c:strCache>
            </c:strRef>
          </c:tx>
          <c:spPr>
            <a:solidFill>
              <a:schemeClr val="accent2">
                <a:alpha val="88000"/>
              </a:schemeClr>
            </a:solidFill>
            <a:ln>
              <a:solidFill>
                <a:schemeClr val="accent2">
                  <a:lumMod val="50000"/>
                </a:schemeClr>
              </a:solidFill>
            </a:ln>
            <a:effectLst/>
            <a:scene3d>
              <a:camera prst="orthographicFront"/>
              <a:lightRig rig="threePt" dir="t"/>
            </a:scene3d>
            <a:sp3d prstMaterial="flat">
              <a:contourClr>
                <a:schemeClr val="accent2">
                  <a:lumMod val="50000"/>
                </a:schemeClr>
              </a:contourClr>
            </a:sp3d>
          </c:spPr>
          <c:invertIfNegative val="0"/>
          <c:dLbls>
            <c:spPr>
              <a:solidFill>
                <a:schemeClr val="accent2">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'EA_aruanne analüüs'!$O$69</c:f>
              <c:numCache>
                <c:formatCode>#,##0</c:formatCode>
                <c:ptCount val="1"/>
                <c:pt idx="0">
                  <c:v>1000</c:v>
                </c:pt>
              </c:numCache>
            </c:numRef>
          </c:val>
          <c:extLst>
            <c:ext xmlns:c16="http://schemas.microsoft.com/office/drawing/2014/chart" uri="{C3380CC4-5D6E-409C-BE32-E72D297353CC}">
              <c16:uniqueId val="{00000001-3910-48A3-A300-944704F95DD7}"/>
            </c:ext>
          </c:extLst>
        </c:ser>
        <c:ser>
          <c:idx val="2"/>
          <c:order val="2"/>
          <c:tx>
            <c:strRef>
              <c:f>'EA_aruanne analüüs'!$N$70</c:f>
              <c:strCache>
                <c:ptCount val="1"/>
                <c:pt idx="0">
                  <c:v>Päästeteenused</c:v>
                </c:pt>
              </c:strCache>
            </c:strRef>
          </c:tx>
          <c:spPr>
            <a:solidFill>
              <a:schemeClr val="accent3">
                <a:alpha val="88000"/>
              </a:schemeClr>
            </a:solidFill>
            <a:ln>
              <a:solidFill>
                <a:schemeClr val="accent3">
                  <a:lumMod val="50000"/>
                </a:schemeClr>
              </a:solidFill>
            </a:ln>
            <a:effectLst/>
            <a:scene3d>
              <a:camera prst="orthographicFront"/>
              <a:lightRig rig="threePt" dir="t"/>
            </a:scene3d>
            <a:sp3d prstMaterial="flat">
              <a:contourClr>
                <a:schemeClr val="accent3">
                  <a:lumMod val="50000"/>
                </a:schemeClr>
              </a:contourClr>
            </a:sp3d>
          </c:spPr>
          <c:invertIfNegative val="0"/>
          <c:dLbls>
            <c:spPr>
              <a:solidFill>
                <a:schemeClr val="accent3">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'EA_aruanne analüüs'!$O$70</c:f>
              <c:numCache>
                <c:formatCode>#,##0</c:formatCode>
                <c:ptCount val="1"/>
                <c:pt idx="0">
                  <c:v>22510.1</c:v>
                </c:pt>
              </c:numCache>
            </c:numRef>
          </c:val>
          <c:extLst>
            <c:ext xmlns:c16="http://schemas.microsoft.com/office/drawing/2014/chart" uri="{C3380CC4-5D6E-409C-BE32-E72D297353CC}">
              <c16:uniqueId val="{00000002-3910-48A3-A300-944704F95DD7}"/>
            </c:ext>
          </c:extLst>
        </c:ser>
        <c:ser>
          <c:idx val="3"/>
          <c:order val="3"/>
          <c:tx>
            <c:strRef>
              <c:f>'EA_aruanne analüüs'!$N$71</c:f>
              <c:strCache>
                <c:ptCount val="1"/>
                <c:pt idx="0">
                  <c:v>Majandus</c:v>
                </c:pt>
              </c:strCache>
            </c:strRef>
          </c:tx>
          <c:spPr>
            <a:solidFill>
              <a:schemeClr val="accent4">
                <a:alpha val="88000"/>
              </a:schemeClr>
            </a:solidFill>
            <a:ln>
              <a:solidFill>
                <a:schemeClr val="accent4">
                  <a:lumMod val="50000"/>
                </a:schemeClr>
              </a:solidFill>
            </a:ln>
            <a:effectLst/>
            <a:scene3d>
              <a:camera prst="orthographicFront"/>
              <a:lightRig rig="threePt" dir="t"/>
            </a:scene3d>
            <a:sp3d prstMaterial="flat">
              <a:contourClr>
                <a:schemeClr val="accent4">
                  <a:lumMod val="50000"/>
                </a:schemeClr>
              </a:contourClr>
            </a:sp3d>
          </c:spPr>
          <c:invertIfNegative val="0"/>
          <c:dLbls>
            <c:spPr>
              <a:solidFill>
                <a:schemeClr val="accent4">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'EA_aruanne analüüs'!$O$71</c:f>
              <c:numCache>
                <c:formatCode>#,##0</c:formatCode>
                <c:ptCount val="1"/>
                <c:pt idx="0">
                  <c:v>848979.6</c:v>
                </c:pt>
              </c:numCache>
            </c:numRef>
          </c:val>
          <c:extLst>
            <c:ext xmlns:c16="http://schemas.microsoft.com/office/drawing/2014/chart" uri="{C3380CC4-5D6E-409C-BE32-E72D297353CC}">
              <c16:uniqueId val="{00000003-3910-48A3-A300-944704F95DD7}"/>
            </c:ext>
          </c:extLst>
        </c:ser>
        <c:ser>
          <c:idx val="4"/>
          <c:order val="4"/>
          <c:tx>
            <c:strRef>
              <c:f>'EA_aruanne analüüs'!$N$72</c:f>
              <c:strCache>
                <c:ptCount val="1"/>
                <c:pt idx="0">
                  <c:v>Keskkonnakaitse</c:v>
                </c:pt>
              </c:strCache>
            </c:strRef>
          </c:tx>
          <c:spPr>
            <a:solidFill>
              <a:schemeClr val="accent5">
                <a:alpha val="88000"/>
              </a:schemeClr>
            </a:solidFill>
            <a:ln>
              <a:solidFill>
                <a:schemeClr val="accent5">
                  <a:lumMod val="50000"/>
                </a:schemeClr>
              </a:solidFill>
            </a:ln>
            <a:effectLst/>
            <a:scene3d>
              <a:camera prst="orthographicFront"/>
              <a:lightRig rig="threePt" dir="t"/>
            </a:scene3d>
            <a:sp3d prstMaterial="flat">
              <a:contourClr>
                <a:schemeClr val="accent5">
                  <a:lumMod val="50000"/>
                </a:schemeClr>
              </a:contourClr>
            </a:sp3d>
          </c:spPr>
          <c:invertIfNegative val="0"/>
          <c:dLbls>
            <c:spPr>
              <a:solidFill>
                <a:schemeClr val="accent5">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'EA_aruanne analüüs'!$O$72</c:f>
              <c:numCache>
                <c:formatCode>#,##0</c:formatCode>
                <c:ptCount val="1"/>
                <c:pt idx="0">
                  <c:v>10035.84</c:v>
                </c:pt>
              </c:numCache>
            </c:numRef>
          </c:val>
          <c:extLst>
            <c:ext xmlns:c16="http://schemas.microsoft.com/office/drawing/2014/chart" uri="{C3380CC4-5D6E-409C-BE32-E72D297353CC}">
              <c16:uniqueId val="{00000004-3910-48A3-A300-944704F95DD7}"/>
            </c:ext>
          </c:extLst>
        </c:ser>
        <c:ser>
          <c:idx val="5"/>
          <c:order val="5"/>
          <c:tx>
            <c:strRef>
              <c:f>'EA_aruanne analüüs'!$N$73</c:f>
              <c:strCache>
                <c:ptCount val="1"/>
                <c:pt idx="0">
                  <c:v>Elamu- ja kommunaalmajandus</c:v>
                </c:pt>
              </c:strCache>
            </c:strRef>
          </c:tx>
          <c:spPr>
            <a:solidFill>
              <a:schemeClr val="accent6">
                <a:alpha val="88000"/>
              </a:schemeClr>
            </a:solidFill>
            <a:ln>
              <a:solidFill>
                <a:schemeClr val="accent6">
                  <a:lumMod val="50000"/>
                </a:schemeClr>
              </a:solidFill>
            </a:ln>
            <a:effectLst/>
            <a:scene3d>
              <a:camera prst="orthographicFront"/>
              <a:lightRig rig="threePt" dir="t"/>
            </a:scene3d>
            <a:sp3d prstMaterial="flat">
              <a:contourClr>
                <a:schemeClr val="accent6">
                  <a:lumMod val="50000"/>
                </a:schemeClr>
              </a:contourClr>
            </a:sp3d>
          </c:spPr>
          <c:invertIfNegative val="0"/>
          <c:dLbls>
            <c:spPr>
              <a:solidFill>
                <a:schemeClr val="accent6">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'EA_aruanne analüüs'!$O$73</c:f>
              <c:numCache>
                <c:formatCode>#,##0</c:formatCode>
                <c:ptCount val="1"/>
                <c:pt idx="0">
                  <c:v>1113128.7164000003</c:v>
                </c:pt>
              </c:numCache>
            </c:numRef>
          </c:val>
          <c:extLst>
            <c:ext xmlns:c16="http://schemas.microsoft.com/office/drawing/2014/chart" uri="{C3380CC4-5D6E-409C-BE32-E72D297353CC}">
              <c16:uniqueId val="{00000005-3910-48A3-A300-944704F95DD7}"/>
            </c:ext>
          </c:extLst>
        </c:ser>
        <c:ser>
          <c:idx val="6"/>
          <c:order val="6"/>
          <c:tx>
            <c:strRef>
              <c:f>'EA_aruanne analüüs'!$N$74</c:f>
              <c:strCache>
                <c:ptCount val="1"/>
                <c:pt idx="0">
                  <c:v>Tervishoid</c:v>
                </c:pt>
              </c:strCache>
            </c:strRef>
          </c:tx>
          <c:spPr>
            <a:solidFill>
              <a:schemeClr val="accent1">
                <a:lumMod val="60000"/>
                <a:alpha val="88000"/>
              </a:schemeClr>
            </a:solidFill>
            <a:ln>
              <a:solidFill>
                <a:schemeClr val="accent1">
                  <a:lumMod val="60000"/>
                  <a:lumMod val="50000"/>
                </a:schemeClr>
              </a:solidFill>
            </a:ln>
            <a:effectLst/>
            <a:scene3d>
              <a:camera prst="orthographicFront"/>
              <a:lightRig rig="threePt" dir="t"/>
            </a:scene3d>
            <a:sp3d prstMaterial="flat">
              <a:contourClr>
                <a:schemeClr val="accent1">
                  <a:lumMod val="60000"/>
                  <a:lumMod val="50000"/>
                </a:schemeClr>
              </a:contourClr>
            </a:sp3d>
          </c:spPr>
          <c:invertIfNegative val="0"/>
          <c:dLbls>
            <c:spPr>
              <a:solidFill>
                <a:schemeClr val="accent1">
                  <a:lumMod val="60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'EA_aruanne analüüs'!$O$74</c:f>
              <c:numCache>
                <c:formatCode>#,##0</c:formatCode>
                <c:ptCount val="1"/>
                <c:pt idx="0">
                  <c:v>36629</c:v>
                </c:pt>
              </c:numCache>
            </c:numRef>
          </c:val>
          <c:extLst>
            <c:ext xmlns:c16="http://schemas.microsoft.com/office/drawing/2014/chart" uri="{C3380CC4-5D6E-409C-BE32-E72D297353CC}">
              <c16:uniqueId val="{00000006-3910-48A3-A300-944704F95DD7}"/>
            </c:ext>
          </c:extLst>
        </c:ser>
        <c:ser>
          <c:idx val="7"/>
          <c:order val="7"/>
          <c:tx>
            <c:strRef>
              <c:f>'EA_aruanne analüüs'!$N$75</c:f>
              <c:strCache>
                <c:ptCount val="1"/>
                <c:pt idx="0">
                  <c:v>Vabaaeg, kultuur ja religioon</c:v>
                </c:pt>
              </c:strCache>
            </c:strRef>
          </c:tx>
          <c:spPr>
            <a:solidFill>
              <a:schemeClr val="accent2">
                <a:lumMod val="60000"/>
                <a:alpha val="88000"/>
              </a:schemeClr>
            </a:solidFill>
            <a:ln>
              <a:solidFill>
                <a:schemeClr val="accent2">
                  <a:lumMod val="60000"/>
                  <a:lumMod val="50000"/>
                </a:schemeClr>
              </a:solidFill>
            </a:ln>
            <a:effectLst/>
            <a:scene3d>
              <a:camera prst="orthographicFront"/>
              <a:lightRig rig="threePt" dir="t"/>
            </a:scene3d>
            <a:sp3d prstMaterial="flat">
              <a:contourClr>
                <a:schemeClr val="accent2">
                  <a:lumMod val="60000"/>
                  <a:lumMod val="50000"/>
                </a:schemeClr>
              </a:contourClr>
            </a:sp3d>
          </c:spPr>
          <c:invertIfNegative val="0"/>
          <c:dLbls>
            <c:spPr>
              <a:solidFill>
                <a:schemeClr val="accent2">
                  <a:lumMod val="60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'EA_aruanne analüüs'!$O$75</c:f>
              <c:numCache>
                <c:formatCode>#,##0</c:formatCode>
                <c:ptCount val="1"/>
                <c:pt idx="0">
                  <c:v>2825768.4780000001</c:v>
                </c:pt>
              </c:numCache>
            </c:numRef>
          </c:val>
          <c:extLst>
            <c:ext xmlns:c16="http://schemas.microsoft.com/office/drawing/2014/chart" uri="{C3380CC4-5D6E-409C-BE32-E72D297353CC}">
              <c16:uniqueId val="{00000007-3910-48A3-A300-944704F95DD7}"/>
            </c:ext>
          </c:extLst>
        </c:ser>
        <c:ser>
          <c:idx val="8"/>
          <c:order val="8"/>
          <c:tx>
            <c:strRef>
              <c:f>'EA_aruanne analüüs'!$N$76</c:f>
              <c:strCache>
                <c:ptCount val="1"/>
                <c:pt idx="0">
                  <c:v>Haridus</c:v>
                </c:pt>
              </c:strCache>
            </c:strRef>
          </c:tx>
          <c:spPr>
            <a:solidFill>
              <a:schemeClr val="accent3">
                <a:lumMod val="60000"/>
                <a:alpha val="88000"/>
              </a:schemeClr>
            </a:solidFill>
            <a:ln>
              <a:solidFill>
                <a:schemeClr val="accent3">
                  <a:lumMod val="60000"/>
                  <a:lumMod val="50000"/>
                </a:schemeClr>
              </a:solidFill>
            </a:ln>
            <a:effectLst/>
            <a:scene3d>
              <a:camera prst="orthographicFront"/>
              <a:lightRig rig="threePt" dir="t"/>
            </a:scene3d>
            <a:sp3d prstMaterial="flat">
              <a:contourClr>
                <a:schemeClr val="accent3">
                  <a:lumMod val="60000"/>
                  <a:lumMod val="50000"/>
                </a:schemeClr>
              </a:contourClr>
            </a:sp3d>
          </c:spPr>
          <c:invertIfNegative val="0"/>
          <c:dLbls>
            <c:spPr>
              <a:solidFill>
                <a:schemeClr val="accent3">
                  <a:lumMod val="60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'EA_aruanne analüüs'!$O$76</c:f>
              <c:numCache>
                <c:formatCode>#,##0</c:formatCode>
                <c:ptCount val="1"/>
                <c:pt idx="0">
                  <c:v>6326957.7916000001</c:v>
                </c:pt>
              </c:numCache>
            </c:numRef>
          </c:val>
          <c:extLst>
            <c:ext xmlns:c16="http://schemas.microsoft.com/office/drawing/2014/chart" uri="{C3380CC4-5D6E-409C-BE32-E72D297353CC}">
              <c16:uniqueId val="{00000008-3910-48A3-A300-944704F95DD7}"/>
            </c:ext>
          </c:extLst>
        </c:ser>
        <c:ser>
          <c:idx val="9"/>
          <c:order val="9"/>
          <c:tx>
            <c:strRef>
              <c:f>'EA_aruanne analüüs'!$N$77</c:f>
              <c:strCache>
                <c:ptCount val="1"/>
                <c:pt idx="0">
                  <c:v>Sotsiaalne kaitse</c:v>
                </c:pt>
              </c:strCache>
            </c:strRef>
          </c:tx>
          <c:spPr>
            <a:solidFill>
              <a:schemeClr val="accent4">
                <a:lumMod val="60000"/>
                <a:alpha val="88000"/>
              </a:schemeClr>
            </a:solidFill>
            <a:ln>
              <a:solidFill>
                <a:schemeClr val="accent4">
                  <a:lumMod val="60000"/>
                  <a:lumMod val="50000"/>
                </a:schemeClr>
              </a:solidFill>
            </a:ln>
            <a:effectLst/>
            <a:scene3d>
              <a:camera prst="orthographicFront"/>
              <a:lightRig rig="threePt" dir="t"/>
            </a:scene3d>
            <a:sp3d prstMaterial="flat">
              <a:contourClr>
                <a:schemeClr val="accent4">
                  <a:lumMod val="60000"/>
                  <a:lumMod val="50000"/>
                </a:schemeClr>
              </a:contourClr>
            </a:sp3d>
          </c:spPr>
          <c:invertIfNegative val="0"/>
          <c:dLbls>
            <c:spPr>
              <a:solidFill>
                <a:schemeClr val="accent4">
                  <a:lumMod val="60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'EA_aruanne analüüs'!$O$77</c:f>
              <c:numCache>
                <c:formatCode>#,##0</c:formatCode>
                <c:ptCount val="1"/>
                <c:pt idx="0">
                  <c:v>2483513.31</c:v>
                </c:pt>
              </c:numCache>
            </c:numRef>
          </c:val>
          <c:extLst>
            <c:ext xmlns:c16="http://schemas.microsoft.com/office/drawing/2014/chart" uri="{C3380CC4-5D6E-409C-BE32-E72D297353CC}">
              <c16:uniqueId val="{00000009-3910-48A3-A300-944704F95DD7}"/>
            </c:ext>
          </c:extLst>
        </c:ser>
        <c:dLbls>
          <c:showLegendKey val="0"/>
          <c:showVal val="1"/>
          <c:showCatName val="0"/>
          <c:showSerName val="0"/>
          <c:showPercent val="0"/>
          <c:showBubbleSize val="0"/>
        </c:dLbls>
        <c:gapWidth val="84"/>
        <c:gapDepth val="53"/>
        <c:shape val="box"/>
        <c:axId val="410838928"/>
        <c:axId val="410839344"/>
        <c:axId val="0"/>
      </c:bar3DChart>
      <c:catAx>
        <c:axId val="4108389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410839344"/>
        <c:crosses val="autoZero"/>
        <c:auto val="1"/>
        <c:lblAlgn val="ctr"/>
        <c:lblOffset val="100"/>
        <c:noMultiLvlLbl val="0"/>
      </c:catAx>
      <c:valAx>
        <c:axId val="410839344"/>
        <c:scaling>
          <c:orientation val="minMax"/>
        </c:scaling>
        <c:delete val="1"/>
        <c:axPos val="l"/>
        <c:numFmt formatCode="#,##0" sourceLinked="1"/>
        <c:majorTickMark val="out"/>
        <c:minorTickMark val="none"/>
        <c:tickLblPos val="nextTo"/>
        <c:crossAx val="410838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314325</xdr:colOff>
      <xdr:row>2</xdr:row>
      <xdr:rowOff>104775</xdr:rowOff>
    </xdr:from>
    <xdr:to>
      <xdr:col>21</xdr:col>
      <xdr:colOff>371475</xdr:colOff>
      <xdr:row>25</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381000</xdr:colOff>
      <xdr:row>39</xdr:row>
      <xdr:rowOff>104774</xdr:rowOff>
    </xdr:from>
    <xdr:to>
      <xdr:col>22</xdr:col>
      <xdr:colOff>123825</xdr:colOff>
      <xdr:row>63</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304799</xdr:colOff>
      <xdr:row>82</xdr:row>
      <xdr:rowOff>9524</xdr:rowOff>
    </xdr:from>
    <xdr:to>
      <xdr:col>22</xdr:col>
      <xdr:colOff>47625</xdr:colOff>
      <xdr:row>109</xdr:row>
      <xdr:rowOff>142874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Tiina" refreshedDate="44531.473519097221" createdVersion="6" refreshedVersion="6" minRefreshableVersion="3" recordCount="57">
  <cacheSource type="worksheet">
    <worksheetSource name="Table15"/>
  </cacheSource>
  <cacheFields count="19">
    <cacheField name="Kirje" numFmtId="0">
      <sharedItems/>
    </cacheField>
    <cacheField name="Summa" numFmtId="0">
      <sharedItems containsString="0" containsBlank="1" containsNumber="1" minValue="0" maxValue="5288424.9875999996"/>
    </cacheField>
    <cacheField name="Eelarvekonto" numFmtId="0">
      <sharedItems containsSemiMixedTypes="0" containsString="0" containsNumber="1" containsInteger="1" minValue="320" maxValue="382540"/>
    </cacheField>
    <cacheField name="Konto nimetus" numFmtId="0">
      <sharedItems/>
    </cacheField>
    <cacheField name="Eelarveosa" numFmtId="0">
      <sharedItems/>
    </cacheField>
    <cacheField name="Tulu/kulu liigi grupp" numFmtId="0">
      <sharedItems count="3">
        <s v="Investeerimistegevuse tulud"/>
        <s v="Põhitegevuse tulud"/>
        <s v="Finantseerimistegevus"/>
      </sharedItems>
    </cacheField>
    <cacheField name="Projekt" numFmtId="0">
      <sharedItems containsBlank="1"/>
    </cacheField>
    <cacheField name="Column3" numFmtId="0">
      <sharedItems containsBlank="1"/>
    </cacheField>
    <cacheField name="Osakond" numFmtId="0">
      <sharedItems/>
    </cacheField>
    <cacheField name="Eelarve eest vastutav" numFmtId="0">
      <sharedItems/>
    </cacheField>
    <cacheField name="Tegevusala kood" numFmtId="0">
      <sharedItems/>
    </cacheField>
    <cacheField name="Tegevusala nimetus2" numFmtId="0">
      <sharedItems/>
    </cacheField>
    <cacheField name="Objekt" numFmtId="0">
      <sharedItems containsBlank="1"/>
    </cacheField>
    <cacheField name="Column6" numFmtId="0">
      <sharedItems containsBlank="1"/>
    </cacheField>
    <cacheField name="Kontode alanimetus" numFmtId="0">
      <sharedItems count="13">
        <s v="Põhivara soetuseks saadav sihtfinantseerimine (+)"/>
        <s v="Tulud kaupade ja teenuste müügist"/>
        <s v="Muud saadud toetused tegevuskuludeks"/>
        <s v="Füüsilise isiku tulumaks"/>
        <s v="Laekumine vee erikasutusest"/>
        <s v="Kohaliku tähtsusega maardlate kaevandamisõiguse tasu"/>
        <s v="Maamaks"/>
        <s v="Tasandusfond"/>
        <s v="Toetusfond"/>
        <s v="Kohustuste võtmine (+)"/>
        <s v="Põhivara müük (+)"/>
        <s v="Finantstulud (+)" u="1"/>
        <s v="Mittesihtotstarbelised toetused" u="1"/>
      </sharedItems>
    </cacheField>
    <cacheField name="Tegevus alanimetus" numFmtId="0">
      <sharedItems/>
    </cacheField>
    <cacheField name="I Muudatus" numFmtId="0">
      <sharedItems containsNonDate="0" containsString="0" containsBlank="1"/>
    </cacheField>
    <cacheField name="II Muudatus" numFmtId="0">
      <sharedItems containsNonDate="0" containsString="0" containsBlank="1"/>
    </cacheField>
    <cacheField name="Eelarve peale muudatusi" numFmtId="0">
      <sharedItems containsSemiMixedTypes="0" containsString="0" containsNumber="1" minValue="0" maxValue="5288424.987599999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Tiina" refreshedDate="44540.450107060184" createdVersion="6" refreshedVersion="6" minRefreshableVersion="3" recordCount="1554">
  <cacheSource type="worksheet">
    <worksheetSource name="Table1"/>
  </cacheSource>
  <cacheFields count="21">
    <cacheField name="Kirje" numFmtId="0">
      <sharedItems count="1486" longText="1">
        <s v="ÜVK arendamise kava investeeringute kaasrahastamine"/>
        <s v="Lasteaia päikesejaam"/>
        <s v="Kultuuriprojektide kaasfinantseeringud"/>
        <s v="Perenaine"/>
        <s v="TÖÖJÕUKULUDEGA KAASNEVAD MAKSUD JA SOTSIAALKINDLUSTUSMAKSED"/>
        <s v="Küttepuud"/>
        <s v="Elekter"/>
        <s v="Vesi ja kanalisatsioon"/>
        <s v="Prügivedu (Lääne-Viru Jäätmekeskus)"/>
        <s v="Prügikonteineri rent (Ragn-Sells)"/>
        <s v="Kõned ja sõnumid (Telia)"/>
        <s v="Vabatahtlike päästjate tegevustoetus"/>
        <s v="Vinni aleviku multifunktsionaalne hoone"/>
        <s v="Juhataja"/>
        <s v="Raamatute tellimise reserv (juhul, kui vajadus osta väljast poolt Rakvere Linnavalitsust)"/>
        <s v="Urania tarkvara hooldusleping"/>
        <s v="Internet (Telia)"/>
        <s v="Majahoidja"/>
        <s v="HEV koordinaator"/>
        <s v="Kütus Muruniiduk/trimmer/tehnoloogiaring"/>
        <s v="Kütus Citroen Berlingo (40liitritx11kuud)"/>
        <s v="Kütus Peugeot Traveller (120x11kuud)"/>
        <s v="Kütus Škoda (90liitritx11kuud)"/>
        <s v="Kaskokindlustus"/>
        <s v="Škoda liisingmaksed"/>
        <s v="Peugeot Traveller liisingmaksed"/>
        <s v="Isikliku sõiduauto kompensatsioonid (A.Toiger)"/>
        <s v="Isikliku sõiduauto kompensatsioonid (S. Reimets)"/>
        <s v="Kokk"/>
        <s v="Haridustehnoloog"/>
        <s v="Remonditööline"/>
        <s v="Logopeed+lisatasu"/>
        <s v="Sotsiaalpedagoog"/>
        <s v="Raamatukoguhoidja"/>
        <s v="Sekretär"/>
        <s v="Köögitööline"/>
        <s v="Valvur-majahoidja"/>
        <s v="Abitööline (koristaja 0,5+köögiabitööline 0,5)"/>
        <s v="Infojuht"/>
        <s v="Võrguadministraator"/>
        <s v="Õpetaja abi (M.Kuusik)"/>
        <s v="Majandusjuhataja"/>
        <s v="Logopeed"/>
        <s v="Lasketiiru meister"/>
        <s v="Koolipsühholoog"/>
        <s v="Laborant"/>
        <s v="Koristaja"/>
        <s v="Pikapäevarühma lisatasud"/>
        <s v="Küte ja soojusenergia"/>
        <s v="Käiduteenuste leping (KH Energia Konsult)"/>
        <s v="Tehnilise valve leping (G4S)"/>
        <s v="Porivaipade rent (Lindström)"/>
        <s v="RIKS rent (Deltmar OÜ)"/>
        <s v="Prügikonteineri rent (Lääne-Viru Jäätmekeskus)"/>
        <s v="Kohustuslik ujumise algõpe"/>
        <s v="Prügikonteinerite rent (Ragn-Sells) sh vanapaberi rent"/>
        <s v="Kahjuritõrje (Rentokil)"/>
        <s v="Lauatelefonid (Telia)"/>
        <s v="Ruuteri, digiboksi rent (Telia)"/>
        <s v="Häire teenus 112 (USS)"/>
        <s v="E-kool"/>
        <s v="Isikliku sõiduauto kompensatsioonid"/>
        <s v="Töötajate töötasu"/>
        <s v="Toiduained ja toitlustusteenused"/>
        <s v="Kinnistute, hoonete ja ruumide majandamiskulud"/>
        <s v="Valvur-majahoidja Rutjal"/>
        <s v="Isikliku sõiduauto kompensatsioonid (raamatukoguhoidja)"/>
        <s v="Järelmaksuga arvutid"/>
        <s v="Sotsiaalpedagoog (Külmallik)"/>
        <s v="Toiduained"/>
        <s v="Õpetaja abi"/>
        <s v="Õpetaja"/>
        <s v="Liikumisõpetaja"/>
        <s v="Muusikaõpetaja"/>
        <s v="Majahoidja-koristaja"/>
        <s v="Logopeed (eripedagoog Lumiste)"/>
        <s v="Hoolde- ja remonditööde teenus vastavalt lepingule (Ennak Sel)"/>
        <s v="ELIIS"/>
        <s v="Laekvere lasteaia soojussõlme haldamise lepingu tasu (Roela Soojus)"/>
        <s v="Heakorravahendid (kärud, rehad, kastekannud jms)"/>
        <s v="Simuna kalmistu haldamine"/>
        <s v="Välikäimlad"/>
        <s v="Kalmistuvaht"/>
        <s v="Kalmistumajanduse infosüsteemi Haudi rent"/>
        <s v="Liiv kalmistule"/>
        <s v="Rakvere Tõrma kalmistu"/>
        <s v="Huviringid teenusena"/>
        <s v="Huviringid koolides"/>
        <s v="Hooldustöötajate asendaja"/>
        <s v="Hooldustöötaja (T.Muldma)"/>
        <s v="Hooldustöötaja (M.Maalman)"/>
        <s v="Hooldustöötaja (E.Anier)"/>
        <s v="Näpi kool"/>
        <s v="Vähihaigete Liit tegevustoetus"/>
        <s v="Lääne Virumaa Kurtide Ühing tegevustoetus"/>
        <s v="Lääne-Virumaa Sclerosis Multipleksi Ühing tegevustoetus"/>
        <s v="MTÜ Õendus-hoolduskeskus Loojang tegevustoetus"/>
        <s v="Riigilõivud"/>
        <s v="Vallamaja tehnosüsteemide rekonstrueerimine"/>
        <s v="Avaliku ruumi arendamine (Kirjandustammik, VPG ala)"/>
        <s v="Mänguväljakute rajamine"/>
        <s v="Eesti Raamatupidajate Kogu"/>
        <s v="Eesti Maksumaksjate Liit"/>
        <s v="Vallavanem"/>
        <s v="Vallavalitsuse koosseis H. Klammer"/>
        <s v="Vallavalitsuse koosseis R. Metsla"/>
        <s v="Vallavalitsuse koosseis K. Lillepuu"/>
        <s v="Finantsjuht"/>
        <s v="Kantseleispetsialist (2 in)"/>
        <s v="Spordiklubide, sportlaste, MTÜ-de tegevustoetus"/>
        <s v="Lasteaedade õuesõppetingimuste loomine"/>
        <s v="Pisiremondid jms"/>
        <s v="Korrashoiuvahendid"/>
        <s v="Küti sauna kütja"/>
        <s v="Tudu sauna asendajad"/>
        <s v="Tudu sauna kütja"/>
        <s v="Kütus"/>
        <s v="TVL - töövõtu lepingud"/>
        <s v="Riigilõivud vms"/>
        <s v="Muud tänavavalgustusega seotud kulud"/>
        <s v="Tänavalguste elektrikulud"/>
        <s v="Valla eestkostel olevate eakate tasud"/>
        <s v="Lusikad"/>
        <s v="Muud lusikapeo kulud (lilled, salvrätid, kommid, jms)"/>
        <s v="Lusikapeo kutsed"/>
        <s v="Sünniteatiste kaaned"/>
        <s v="Mängukarud"/>
        <s v="Lusikapeo tort (2 üritustx10kg)"/>
        <s v="Lusikate graveerimisteenus"/>
        <s v="Sünnitoetus"/>
        <s v="Psühholoog A. Rosenthal (18€x12kuudx20h)"/>
        <s v="Laste kommpakid"/>
        <s v="Toimetulekutoetus ja täiendavad sotsiaaltoetused"/>
        <s v="Interneti püsiühendus Andigo"/>
        <s v="Raamatukogude koordineerija lisatasu"/>
        <s v="Direktor"/>
        <s v="Bussisaatja teenus (Porkuni) Rakvere Linnavalitsus esitab arve"/>
        <s v="Ranitsatoetus"/>
        <s v="L-Viru Suurte perede Ühendus tegevustoetus"/>
        <s v="Ühekordsed peretoetused"/>
        <s v="Tugiisiku teenus (6inx100hx5,50x10kuud) KOV kulud"/>
        <s v="Isikliku sõiduauto kompensatsioonid (T.Raudmäe)"/>
        <s v="Isikliku sõiduauto kompensatsioonid (M.Matsiselts)"/>
        <s v="Tugiisik (M.Matsiselts)"/>
        <s v="Tugiisik (T.Raudmäe) lepinguga"/>
        <s v="Muud puuetega inimestega seotud teenused (viipekeele tõlk, sõidukulude komp., toetus ravimitele jne)"/>
        <s v="Projekt &quot;Puuetega in. Kodude kohandamine&quot;"/>
        <s v="Pajusti Klubi soojussõlme haldamise lepingu tasu (Roela Soojus)"/>
        <s v="Ringijuhid"/>
        <s v="Klubide koordineerija lisatasu"/>
        <s v="Automaatse tulekahjusignalisatsiooni lepingutasu (U.K.V)"/>
        <s v="Prügikonteinerite rent (Lääne-Viru Jäätmekeskus)"/>
        <s v="Ujumisõpetuse juhendaja tasu (3 inX120€/kuu"/>
        <s v="Ujulasse transport"/>
        <s v="Ujumisõpetuse juhendaja tasuga seotud maksud"/>
        <s v="Lääne-Virumaa haridusvõrgu analüüs KOV omafinan."/>
        <s v="Pesumasinist 0,5 koormus"/>
        <s v="Abiõpetaja 0,2 koormusega"/>
        <s v="Õpetaja abi 0,8 koormus"/>
        <s v="Aednik"/>
        <s v="Liikumisõpetaja 0,25"/>
        <s v="Muusikaõpetaja 0,25 koormus"/>
        <s v="Õpetaja 0,83 koormus"/>
        <s v="Isikliku sõiduauto kompensatsioonid (aednik)"/>
        <s v="Isikliku sõiduauto kompensatsioonid (juhataja)"/>
        <s v="Majandusjuhataja ülesanded direktoril"/>
        <s v="Prügikonteineri rent ja jäätmevedu (Lääne-Viru Jäätmekeskus)"/>
        <s v="Kulina lasteaia maaküttesüsteemi haldamise lepingu tasu (Roela Soojus)"/>
        <s v="Vesi ja kanalisatsioon (Emajõe Veevärk)"/>
        <s v="Korstnapühkimisteenus"/>
        <s v="Kohviaparaadi korraline hooldus ja veefiltrid"/>
        <s v="Laekvere vana vallamaja soojussõlme haldamise lepingu tasu (Roela Soojus)"/>
        <s v="Vassivere põik 1 KÜ kommunaalkulud"/>
        <s v="Sideteenused (Telia)"/>
        <s v="Turvanet (Telia)"/>
        <s v="Laekvere PM ruumide rent ja töökoja teenus"/>
        <s v="VINNI VALD, LAEKVERE ALEVIK, VASSIVERE PÕIK 3 KORTERIÜHISTU kommunaalkulud"/>
        <s v="Vassivere põik 4 KÜ kommunaalkulud"/>
        <s v="Elisa Teleteenused korterites"/>
        <s v="Prügikonteinerite rent (Ragn-Sells)"/>
        <s v="Lindström vaibad"/>
        <s v="Paberikonteinerite tühjendus (Väätsa Prügila)"/>
        <s v="Transport (M.K.Reis-x teenindatav reedene Venevere-Paasvere-Vassivere poe liin,surnuaaipühal ja jõululaupäeval buss Simuna surnuaiale(FIE Teet Põldoja)"/>
        <s v="Hoolde- ja remonditööd vastavalt hoolduslepingule  (Ennak Sel AS)"/>
        <s v="Auto korraline hooldus"/>
        <s v="Autode ülevaatus"/>
        <s v="Kindlustus sõidukitele (Volkswagen, Nissan)"/>
        <s v="Peugeot liisingmaksed"/>
        <s v="Elektritööd (Enno Mandel)"/>
        <s v="Elektrikäiduleping (Enno Mandel)"/>
        <s v="Vesi ja kanalisatsioon (Saku Läte)"/>
        <s v="Traktorist-majandustööline"/>
        <s v="Heakorra ja remonditööline"/>
        <s v="Soojusenergia (N.R. Energy)"/>
        <s v="Haldusjuht"/>
        <s v="Projektides osalemine"/>
        <s v="Sidekulud (Telia)"/>
        <s v="Koolituskulud (sh koolituslähetus)"/>
        <s v="MAKSU-, LÕIVU-, TRAHVIKULUD"/>
        <s v="Isikliku sõiduauto kompensatsioonid (M. Kesamaa)"/>
        <s v="Sotsiaalteenistuse juhataja"/>
        <s v="Sotsiaaltööspetsialist"/>
        <s v="Spordikulude hüvitamine"/>
        <s v="Kindlustus"/>
        <s v="Kütus sots.töötajate töösõidukitesse (Škoda, Mitsu, Ford, Lasteheaolu)"/>
        <s v="Toidpanga pakkide jaotamine"/>
        <s v="Lasteheaoluspetsialist"/>
        <s v="Fordi liisingmaksed (10 kuud) + uus sama kuumaksega"/>
        <s v="Printeri kasutus (Overall)"/>
        <s v="Kütus bussile"/>
        <s v="Bussi liikluskindlustus"/>
        <s v="Muud sõidukitega seotud kulud"/>
        <s v="Bussi kaskokindlustus"/>
        <s v="Bussi hooldus 1x"/>
        <s v="Isikliku sõiduauto kompensatsioonid (sotsiaalpedagoog)"/>
        <s v="Isikliku sõiduauto kompensatsioonid (majandusjuhataja)"/>
        <s v="Isikliku sõiduauto kompensatsioonid (P. Lumiste)"/>
        <s v="Eripedagoog-logopeed"/>
        <s v="Toitlustusprogrammi arendus- ja hooldustasu (ANC)"/>
        <s v="Hoolde- ja remonditööde teenuse leping (Ennak Sel)"/>
        <s v="Laekvere Kooli soojussõlme haldamise lepingu tasu (Roela Soojus)"/>
        <s v="Muuga-Laekvere Kool - Stuudium e-päevik"/>
        <s v="Prügivedu, konteineri rent (Ragn-Sells)"/>
        <s v="Õpetajate toa mobiiltelefon (Tele2)"/>
        <s v="Niitmisteenus (Ehitme)"/>
        <s v="VINNI VALD, ROELA ALEVIK, VESKI TN 14 KORTERIÜHISTU kommunaalid"/>
        <s v="ROELA ALEVIK, VESKI TN 14 KORTERIÜHISTU kommunaalid"/>
        <s v="Viru-Jaagupi koolimaja automaatse tulekahjusignalisatsiooni korraline hooldus"/>
        <s v="Soojusenergia Kooli tn 7 (Roela Soojus)"/>
        <s v="Niitmisteenus (Kalno Vaarmets)"/>
        <s v="ATS hooldus (G4S)"/>
        <s v="Niitmisteenus (Fixum Service)"/>
        <s v="Kütus seadmetele"/>
        <s v="Kütus sõidukitele"/>
        <s v="Internet (Telia - Kesk tn 5)"/>
        <s v="Sideteenused (Telia- Kooli tee 7)"/>
        <s v="Sideteenused (Telia- Roela Noortemaja)"/>
        <s v="Sideteenused (Telia- Tudu)"/>
        <s v="Sideteenused (Telia - Kooli 7)"/>
        <s v="Sideteenused (Telia - Nele ja kalmistu"/>
        <s v="KÜ Roela Mets kommunaalkulud"/>
        <s v="VINNI VALD, ROELA ALEVIK, VESKIKAARE TN 3 KORTERIÜHISTU kommunaalkulud"/>
        <s v="KORTERIÜHISTU ROELA JÄRVE kommunaakulud"/>
        <s v="VINNI VALD, VIRU-JAAGUPI ALEVIK, KAASIKU TN 5 KORTERIÜHISTU kommunaalkulud"/>
        <s v="Vinni vald, Viru-Jaagupi alevik, Kaasiku tn 7 korteriühistu kommunaalkulud"/>
        <s v="Vesi ja kanalisatsioon Viru-Jaagupi (Emajõe Veevärk)"/>
        <s v="Lepingulised (Eigi)"/>
        <s v="Roela heakorratööline"/>
        <s v="Tudu kütja"/>
        <s v="Tudu katlakütja"/>
        <s v="Koristaja-saunakütja"/>
        <s v="Hooldustöötaja"/>
        <s v="Kokk lisatasu õpilaskodu toitlustamine"/>
        <s v="Hooldaja"/>
        <s v="Bussi korraline hooldus"/>
        <s v="Toiduained lasteaed"/>
        <s v="Remondimees käsunduslepinguga 4 x aastas"/>
        <s v="IT-spetsialist"/>
        <s v="Bussi liisingmaksed"/>
        <s v="Kodulehe majutus tudu.edu.ee"/>
        <s v="Kaskokindlustus bussile"/>
        <s v="Kindlustus bussile"/>
        <s v="Ulvi mõis haldamise lepingu tasu (Roela Soojus)"/>
        <s v="Maakütte hooldus"/>
        <s v="Põranda lihvimine, õlitamine"/>
        <s v="Vinni lasteaia soojussõlme haldamise lepingu tasu (Roela Soojus)"/>
        <s v="Valveteenus"/>
        <s v="Õppepuhkusepäevade asendamised"/>
        <s v="Valverühm - õpetaja asendamine ca. 64 pv"/>
        <s v="Juubelipreemia"/>
        <s v="Õppega seotud lõpetamisega seotud puhkepäevad"/>
        <s v="Valverühm - õpetaja abi asendamine ca. 61 pv"/>
        <s v="Õpetaja abi 6in"/>
        <s v="Õpetaja (magister) 6 in."/>
        <s v="Juhataja-kokk"/>
        <s v="Õpetaja 5in"/>
        <s v="Vanemõpetaja"/>
        <s v="ANC Toitlustusprogrammi arendus- ja hooldustasu"/>
        <s v="Pesu pesemine"/>
        <s v="Veefiltri hooldus (Virumaa Veepumbakeskus)"/>
        <s v="Ventilatsiooni hooldus"/>
        <s v="Päikesepargi hooldus"/>
        <s v="Antud sihtfinantseerimine tegevuskuludeks"/>
        <s v="Noorte volikogu töö korraldamine, arendamine"/>
        <s v="Kultuuriseltsite, MTÜ-de tegevustoetused"/>
        <s v="Vinni Valla ajaleht"/>
        <s v="Suusaradade rajamisega seotud masina transport"/>
        <s v="Suusaradade rajamisega seotud kütusekulu"/>
        <s v="Sideteenused"/>
        <s v="Sporditöönõunik"/>
        <s v="Vinni Valla Noored"/>
        <s v="Regionaalsete sündmuste kuvamine kultuurikava ee veebikeskkonnas ja omavalitsuse kodulehel (kultuurinet)"/>
        <s v="Valla kultuuriüritused"/>
        <s v="Rakvere Muusikakool"/>
        <s v="Väike-Maarja Muusikakool"/>
        <s v="Huvitegevuse toetus"/>
        <s v="Muusikaõpetaja lisaülesanded õpetajal"/>
        <s v="Pesumasinist lisatasu õpetajal"/>
        <s v="Õpetaja (magister)"/>
        <s v="Abitööline"/>
        <s v="Ühekordsed peretoetused (nt. ravimitoetused)"/>
        <s v="Lilled juubelitoetuse saajatele"/>
        <s v="Juubelitoetused reserv"/>
        <s v="Juubelitoetused 50€"/>
        <s v="Juubelitoetused 100€"/>
        <s v="Eakate ühekordsed toetused"/>
        <s v="Täiendav ravimite hüvitamine"/>
        <s v="Puuetega laste hooldaja toetus"/>
        <s v="Hoolekandeteenused AS"/>
        <s v="Erijuhtudel riigi poolt makstavad maksud"/>
        <s v="Puuetega inimeste hooldaja toetused"/>
        <s v="Toetused puudega inimestele ja nende hooldajatele - transport"/>
        <s v="Ravitoetused puuetega inimestele"/>
        <s v="Johanna MTÜ tegevustoetus"/>
        <s v="Kommunikatsiooni-, kultuuri- ja vaba aja sisustamise kulud"/>
        <s v="Muude isikute töötasud"/>
        <s v="Isikliku sõiduauto kompensatsioonid (perenaine)"/>
        <s v="Tegevustoetus"/>
        <s v="Käiduteenus (KH Energia Konsult)"/>
        <s v="Hariduskapitali preemia"/>
        <s v="Rajatiste majandamiskulud"/>
        <s v="Lumetõrje"/>
        <s v="Kauplusauto (Coramy)"/>
        <s v="Kauplusauto (VKK Kaubandus)"/>
        <s v="Toetused töötutele"/>
        <s v="Omasteta matusekulud"/>
        <s v="Matusetoetus (valla finantseering)"/>
        <s v="Matusetoetus"/>
        <s v="Jäätmeveod"/>
        <s v="Ragn-Sells konteinerite laenutus"/>
        <s v="Liitumistasu"/>
        <s v="Jäätmekäitlus moodul (X-tee 6)"/>
        <s v="2021.a võetud laenu (Swedbank) põhiosa tagasimaksed"/>
        <s v="Laenude intresside tasumised"/>
        <s v="Laenude põhiosade tasumised"/>
        <s v="Hooldajad"/>
        <s v="Vinni LA kokk palgatõus"/>
        <s v="Vinni raamatukogu soojussõlme haldamise lepingu tasu (Roela Soojus)"/>
        <s v="Vallasekretär"/>
        <s v="Abivallavanem"/>
        <s v="Jurist"/>
        <s v="Pearaamatupidaja"/>
        <s v="Raamatupidajad"/>
        <s v="Juhiabi"/>
        <s v="Audiitorteenus"/>
        <s v="Esindus- ja vastuvõtukulud"/>
        <s v="Äripäeva tellimused"/>
        <s v="Akvaariumitarbed"/>
        <s v="Mobiilsideteenused (Telia)"/>
        <s v="Pangateenustasud (Swed)"/>
        <s v="Pangateenustasud (SEB)"/>
        <s v="Overall  (Usage) Vastavalt näidule (lepinguline)"/>
        <s v="Kohvioad (Joogiekspert)"/>
        <s v="ajakiri Edasi"/>
        <s v="Virumaa Teataja"/>
        <s v="Postikulud (Eesti Post)"/>
        <s v="E-arvekeskus Ettevõttepakett+ (eKinnitusring) (Finbite)"/>
        <s v="Kuulutused ajalehtedes"/>
        <s v="Notaritasud"/>
        <s v="Vinni Valla üldplaneering"/>
        <s v="Vallavanema lähetused vms"/>
        <s v="Koolituskulud (Rauno)"/>
        <s v="Meeskonnakoolitused"/>
        <s v="Koolituskulud (kantselei)"/>
        <s v="Lipud"/>
        <s v="Tööstusballoonide rent"/>
        <s v="Prügivedu (Jäätmekeskus)"/>
        <s v="Vallamaja põrandate vahatamine"/>
        <s v="Vallamaja koristuskulud"/>
        <s v="Vinni Vallamaja soojussõlme haldamise lepingu tasu (Roela Soojus)"/>
        <s v="Vallavanema autopesu"/>
        <s v="Vallavanema autotarvikud vms"/>
        <s v="Raamatupidamistarkvara hooldus San Revilo"/>
        <s v="Eelarve rakenduse Veera kuutasu"/>
        <s v="Äripäeva tarkvara, litsensid"/>
        <s v="Riigihanke teabevara ja Töötervishoid ja -ohutus(Äripäev)"/>
        <s v="Seadme üür, 4G väline ruuter"/>
        <s v="Amphora litsensitasu"/>
        <s v="Kohviaparaadi rent (Coffeecup)"/>
        <s v="Med.tarbed, vaktsiinid"/>
        <s v="Prillide hüvitamine"/>
        <s v="Nägemiskontroll"/>
        <s v="Tervisekontrollid"/>
        <s v="Lilled"/>
        <s v="Rauno ideed ja soovid"/>
        <s v="Vallavalitsuse ja hallatavate asutuste aasta kindlustus"/>
        <s v="Vallavanema auto (leping lõppeb veebruar)"/>
        <s v="Isikliku sõiduauto kompensatsioonid sh. koolitused"/>
        <s v="Isikliku sõiduauto kompensatsioonid (juhiabi)"/>
        <s v="Isikliku sõiduauto kompensatsioonid (vallasekretär)"/>
        <s v="Isikliku sõiduauto kompensatsioonid (abivallavanem)"/>
        <s v="Roela lasteaed-põhikool, energiatõhusustööd"/>
        <s v="Koristaja + lisatasu 100€"/>
        <s v="Noorsootöötaja"/>
        <s v="Pikapäevarühma lisatasu"/>
        <s v="Pajusti LA kokk palgatõus"/>
        <s v="Koristaja 0,7 kohta"/>
        <s v="Koristaja 0,9 kohta"/>
        <s v="Spordirajatiste meister lisatasu"/>
        <s v="Spordirajatiste meister"/>
        <s v="Psühholoog"/>
        <s v="E-kool (Telia)"/>
        <s v="Kantseleitarbed"/>
        <s v="Veebimajutus"/>
        <s v="Postiteenused (tööpakkumised)"/>
        <s v="Telia"/>
        <s v="Roela Põhikooli automaatse tulekahjusignalisatsiooni korraline hooldusleping (U.K.V)"/>
        <s v="Roela kooli soojusõlme haldamise lepingu tasu (Roela soojus)"/>
        <s v="Kahjuritõrje lepingumakse (Rentokil)"/>
        <s v="Elektri käiduleping (Enno Mandel)"/>
        <s v="Korrahoiuvahendid"/>
        <s v="Tuelkustutite kontroll "/>
        <s v="Söökla uhteproovid, vee analüüsid"/>
        <s v="Söökla ventilatsiooni puhastus"/>
        <s v="Isikliku sõiduauto kompensatsioonid (haridusnõunik)"/>
        <s v="Alushariduse metoodik"/>
        <s v="Haridusnõunik"/>
        <s v="Alushariduse eripedagoog"/>
        <s v="Isikliku sõiduauto kompensatsioonid (alushariduse eripedagoog)"/>
        <s v="Isikliku sõiduauto kompensatsioonid (alushariduse metoodik)"/>
        <s v="Vinni Tervisekeskuse fassaadi remont"/>
        <s v="Pellet"/>
        <s v="Korrakaitsjad"/>
        <s v="Ehitus-,remondi-ja majandustööline"/>
        <s v="Heakorratööline"/>
        <s v="Remondi- ja elektritööline"/>
        <s v="Isikliku sõiduauto kompensatsioonid (M.Keskküla)"/>
        <s v="Muud kinnistute ja hoonetega seotud kulud"/>
        <s v="Aruandeteenuse kuutasu (Metrotec)"/>
        <s v="KORTERIÜHISTU ULVI ALLIKAS kommunaalkulud"/>
        <s v="KÜ Tiigi 5 kommunaalkulud"/>
        <s v="Seadmete rent vallamaja ja perearstikeskus (Skarabeus Julgestusteenistus)"/>
        <s v="VINNI VALD, VINNI ALEVIK, KIIGE TN 5 KORTERIÜHISTU kommunaalkulud"/>
        <s v="1 staatiline  IP aadress (NAT), kuutasu (Telia) - Kortermänguväljaku kaamerate internet"/>
        <s v="Interneti püsiühendus (Andigo)"/>
        <s v="VINNI VALD, VINNI ALEVIK, SÕPRUSE TN 3 KORTERIÜHISTU kommunaalkulud"/>
        <s v="VINNI VALD, PAJUSTI ALEVIK, LINNU TN 1 KORTERIÜHISTU kommunaalkulud"/>
        <s v="KÜ PAJU kommunaalkulud"/>
        <s v="VINNI VALD, VINNI ALEVIK, SÕPRUSE TN 6 KORTERIÜHISTU kommunaalkulud"/>
        <s v="VINNI VALD, VINNI ALEVIK, KIIGE TN 2 KORTERIÜHISTU kommunaalkulud"/>
        <s v="Majahoidja tunnitasu"/>
        <s v="Gümnaasiumi energiatõhusustööd"/>
        <s v="Küttepuude toetus"/>
        <s v="Lemmikloomaregister SPIN TEK"/>
        <s v="Rakvere Loomade varjupaik (Rakvere Linnavalitsus)"/>
        <s v="Kergteede arendamine"/>
        <s v="Laekvere kergliiklustee"/>
        <s v="Reservfond"/>
        <s v="Kaasav eelarve"/>
        <s v="VIROL leping (70 korda sõitex8,30x1 laps)"/>
        <s v="Sõidukulude kompenseerimised lapsevanematele"/>
        <s v="M.K.Reis-X OÜ"/>
        <s v="Muud vedelikud (jahutus, klaasipesu jms)"/>
        <s v="Ülevaatus"/>
        <s v="Kütus 50000km*36l/100le*1,5eur/l"/>
        <s v="Bussi pesu"/>
        <s v="Autobussi kasutusrent"/>
        <s v="Bussijuht"/>
        <s v="T.A. Bussid OÜ"/>
        <s v="Käsitöö, Teatristuudio"/>
        <s v="Hoolde- ja remonditööde lepingulised maksed (ENNAK SEL)"/>
        <s v="Kuutasuline internet (Telia)"/>
        <s v="Ringijuhid - eakate võimlemine"/>
        <s v="Laekvere Rahvamaja soojussõlme haldamise lepingu tasu (Roela Soojus)"/>
        <s v="Porivaipade rent (Linström)"/>
        <s v="Rahvamaja energiatõhusustööd"/>
        <s v="Jäätmehalduse moodul"/>
        <s v="Maade mõõdistamised"/>
        <s v="Rahvusarhiivi teenused"/>
        <s v="Planeeringutealane nõustamine (Erkki Leek)"/>
        <s v="Majandusosakonna koolitused"/>
        <s v="Muudes projektides osalemised"/>
        <s v="Kaunis kodu"/>
        <s v="Teede- ja ühistranspordinõunik"/>
        <s v="Maanõunik"/>
        <s v="Ehitusnõunik"/>
        <s v="Arendusnõunik"/>
        <s v="Keskkonna- ja kommunaalnõunik"/>
        <s v="Isikliku sõiduauto kompensatsioonid (Keskkonna- ja kommunaalnõunik)"/>
        <s v="Isikliku sõiduauto kompensatsioonid (Ehitusnõunik)"/>
        <s v="Isikliku sõiduauto kompensatsioonid (Maanõunik)"/>
        <s v="Isikliku sõiduauto kompensatsioonid (Arendusnõunik)"/>
        <s v="Isikliku sõiduauto kompensatsioonid (Teede- ja ühistranspordinõunik)"/>
        <s v="Ettevõtlustoetused"/>
        <s v="Hajaasustuseprogramm"/>
        <s v="Eakate ujumise transport"/>
        <s v="Perearsti Väike-Maarja TK (Laekvere) Transpordikulu"/>
        <s v="Rakvere Haigla MTÜ liikmemaks"/>
        <s v="Rakvere Haigla AS investeeringute osamakse"/>
        <s v="Kommunikatsiooni- ja turisminõunik"/>
        <s v="SOS Lasteküla"/>
        <s v="Haiba lastekodu"/>
        <s v="Maria ja lapsed"/>
        <s v="Vinni Perekodus VV lapsed"/>
        <s v="Pereshooldamine"/>
        <s v="Tugiisik (V. Kingsepp)"/>
        <s v="Tugiisik (M. Saar)"/>
        <s v="Remondi- ja hooldetööde teenus vastavalt lepingule (Ennak Sel)"/>
        <s v="Kulina LA kokk palgatõus"/>
        <s v="Pajusti lasteaia soojussõlme haldamise lepingu tasu (Roela Soojus)"/>
        <s v="Reoveepumpade hooldus (Virumaa Veepumbakeskus)"/>
        <s v="Lasteaed Tõrutõnn rühmaruumide rekonstrueerimine"/>
        <s v="Öökasvataja (sisaldab lisatasu 195€)"/>
        <s v="Sotsiaalpedagoog (sisaldab lisatasu 195)"/>
        <s v="Kommunaalkulud"/>
        <s v="Kohaliku omavalitsuse teenusportaali kasutamine"/>
        <s v="X-tee turvaserveri v6 majutus (Andmevara)"/>
        <s v="Interneti kuutasu"/>
        <s v="Kodulehe majutus ja e-post (Telia)"/>
        <s v="Ruuteri ja Syslogi hooldustasu (Gurud)"/>
        <s v="Andmekaitseametnik"/>
        <s v="Office ProPlus Edu (kõikide ametiasutuste) GT Tarkvara"/>
        <s v="Windows 10 Edu upgrade (kõikide ametiasutuste) GT Tarkvara"/>
        <s v="Volikogu muud kulud"/>
        <s v="Kantseleispetsialisti lisatasu - volikogu protokollimine"/>
        <s v="Komisjoni liikmed"/>
        <s v="Külaliste vastuvõtukulud, lilled jm kulud"/>
        <s v="Volikogu liikmed"/>
        <s v="Komisjoni esimehed"/>
        <s v="Volikogu esimees"/>
        <s v="Tööle saamist parendavad tugiteenused omaosalustasu 2022"/>
        <s v="Virumaa Koostöökogu MTÜ liikmemaks - 2022 tõuseb hind 1€/elaniku kohta"/>
        <s v="Paik MTÜ liikmemaks"/>
        <s v="Liikmemaks Põhja- Eesti Ühistranspordikeskus MTÜ-le"/>
        <s v="VIROL liikmemaks 2022 - arvestatud 11500+6900 elanikkux0,66"/>
        <s v="Eesti Linnade ja Valdade Liidu 2022.a. liikmemaks"/>
        <s v="VIROL omaosalus projektis &quot;Piirkondlike algatuste tugiprogramm 2020-2023&quot;"/>
        <s v="Partnerid MTÜ liikmemaks"/>
        <s v="Vaktsineerimata laste testide soetamiseks jääk?"/>
        <s v="OPIQu reserv?"/>
        <s v="Täiendav toetus õpilünkade tasandamiseks"/>
        <s v="Üritused vastavalt plaanile"/>
        <s v="Ploomi transport 10*60"/>
        <s v="Inventari majandamiskulud"/>
        <s v="Kanva aastamaks"/>
        <s v="Bürootarbed + reklaamid"/>
        <s v="Muud admin.kulud"/>
        <s v="Tahmakassetid"/>
        <s v="Bürootarbed"/>
        <s v="Pisiremondid"/>
        <s v="Voodipesu"/>
        <s v="IT väikevahendid"/>
        <s v="IT vahendite hooldus"/>
        <s v="Telia andmeside"/>
        <s v="Inventari hooldus, remont"/>
        <s v="Tervisekontroll"/>
        <s v="Esmaabivahendid"/>
        <s v="transport"/>
        <s v="ühisüritused"/>
        <s v="mänguasjad"/>
        <s v="õppematerjalid"/>
        <s v="õpikud, töövihikud"/>
        <s v="osalustasud"/>
        <s v="Üritusedetendused, kontserdid"/>
        <s v="Jalatsiriiul"/>
        <s v="Muruniitmine (bensiin)"/>
        <s v="Turvavalgustus, elektritööd"/>
        <s v="Laste WC-pott"/>
        <s v="Dokkimisalus arvutile Dell"/>
        <s v="Veefiltrihooldus"/>
        <s v="Tindiprinter värviline Epson L805"/>
        <s v="Rulood saali"/>
        <s v="Telefon, internet"/>
        <s v="Rasvapüüduri puhastus"/>
        <s v="Asendamised"/>
        <s v="Vaip"/>
        <s v="Kunstitarvete kapp"/>
        <s v="Reovee biopuhasti hooldus"/>
        <s v="Puhastussool veefiltrile"/>
        <s v="Lääne-Viru Haridusjuhtide liikmemaks"/>
        <s v="Õppevahendite ja koolituse kulud"/>
        <s v="Meditsiinikulud ja hügieenikulud"/>
        <s v="TVL - töövõtu lepingud (ujumistreener)"/>
        <s v="Õppekäigud, üritused"/>
        <s v="Reoveepuhasti tühjendamine"/>
        <s v="Õpetajate lehe tellimus"/>
        <s v="Haridus 2022 teavitusteenus"/>
        <s v="Täheke tellimus"/>
        <s v="Eripedagoogi töövahendid"/>
        <s v="Koolitused haridusmetoodik, eripedagoog"/>
        <s v="Meditsiinikulud ja hügieenikulud. Ühekordsed näomaskid, desoained, tervisehoiutõendid, muud meditsiini ja hügieenikulud. "/>
        <s v="Eri- ja vormiriietus (va kaitseotstarbelised kulud). Tööriiete ost (köögi personal)"/>
        <s v="Info- ja kommunikatsioonitehnoloogia kulud. Windowsi litsets, videoserveri kõvaketa vahetus, projektorid, arvutite värskendus,, printerid, sülearvutid(4tk) "/>
        <s v="Koolituskulud (sh koolituslähetus).Tuleohutus- ja evakuatsioonikoolitus kohustuslik"/>
        <s v="Kommunikatsiooni-, kultuuri- ja vaba aja sisustamise kulud. Mälumängud, spodivõistlused, meened jm"/>
        <s v="Õppevahendite ja koolituse kulud. Paljunduspaber, õpikud, töövihikud, mänguasjad, õppetransport"/>
        <s v="Kinnistute, hoonete ja ruumide majandamiskulud. Tulekustutite kontroll 2022 kohustuslik"/>
        <s v="Kinnistute, hoonete ja ruumide majandamiskulud. Ventilatsiooni hooldusleping, kohustuslik puhastus, filtrid ja muud varuosad."/>
        <s v="Kinnistute, hoonete ja ruumide majandamiskulud. San.remont ja remonditarbed, muude seadmete remont ja hooldused"/>
        <s v="Kinnistute, hoonete ja ruumide majandamiskulud. Koristustarbed-paber, keemia ka kõõgikorrashoiuvahendid."/>
        <s v="Kinnistute, hoonete ja ruumide majandamiskulud. Elektripaigaldiste ja evakuatsioonivalgustuse lisamaterjalid pluss töö."/>
        <s v="perioodika"/>
        <s v="Teavikute ja kunstiesemete kulud"/>
        <s v="Vinni valla raamatukogude ühisüritused- täiskasvanutele 1000.- , lastele 1000.-"/>
        <s v="tindid,toonerid"/>
        <s v="Ulvi rkogu üritused-raamatukogupäevad 300.- , emakeele päev 300.-"/>
        <s v="Virtuaalserver"/>
        <s v="Sõidukite hooldus, remont, varuosad, ülevaatused"/>
        <s v="MTÜ Eesti Eestkostekorraldus"/>
        <s v="Töötervishoiuarsti visiit + nägemiskontroll"/>
        <s v="Korterite remondimaterjalid"/>
        <s v="Suvelilled, istikud"/>
        <s v="Kändude freesimine, ohtlike puude langetus"/>
        <s v="Karuvelti Talu ruumide rent "/>
        <s v="Rehvid"/>
        <s v="Raideri hooldus"/>
        <s v="Muud inventari majandamiskulud"/>
        <s v="Trimmer"/>
        <s v="Specagra traktori hooldus"/>
        <s v="Eri- ja vormiriietus (va kaitseotstarbelised kulud)"/>
        <s v="Bürootarbed, tahmakassetid"/>
        <s v="Heli Habakuk"/>
        <s v="Muud sotsiaalitööd toetavad kulud"/>
        <s v="Sõidukite hooldus, remont, varuosad"/>
        <s v="Telefonid (Tiiu, Tiina)"/>
        <s v="Pesumasin (Tudu), pesukuivati (Laekvere)"/>
        <s v="Etendused, kontserdid"/>
        <s v="Tervisetõendite uuendamine töötajatel"/>
        <s v="Prillide kompensatsioon "/>
        <s v="Hügieenivahendid"/>
        <s v="Invetari rent"/>
        <s v="Programmid"/>
        <s v="Pisiremonttööd"/>
        <s v="Kuulutused"/>
        <s v="Esindus - ja vastuvõtu kulud"/>
        <s v="Kingitused"/>
        <s v="Postikulu"/>
        <s v="Trükised"/>
        <s v="Tulekustutite kontroll, hooldus"/>
        <s v="Administreerimiskulud"/>
        <s v="Kooli tn 7 Jaagupi end. koolimaja kütmine"/>
        <s v="Heakorratööline (Lauk)"/>
        <s v="Betoonist lillepotid"/>
        <s v="Korrashoiuvahendid (puhastusvahendid, väike elektritööd jms)"/>
        <s v="Niitmine jm teenused (Salin)"/>
        <s v="Roela kooli tuletõrje veehoidla hooldus (Tuletõrje selts)"/>
        <s v="Sõidukite hooldused, remont jms varuosad"/>
        <s v="ATV hooldus"/>
        <s v="Muud inventari vajadused"/>
        <s v="Küttepuud (Tudu Rahvamaja)"/>
        <s v="Küttepuud (Küti ja Jaagupi saun)"/>
        <s v="Töötervishoiuarsti visiit"/>
        <s v="Muud ettenägematud kulud"/>
        <s v="Visiiditasud jms haigla tasud"/>
        <s v="Hügieenitarbed"/>
        <s v="Ravimid"/>
        <s v="Korrashoiuvahenditele kütus jms"/>
        <s v="Prügivedu"/>
        <s v="Rentokil kahjuritõrje"/>
        <s v="Korstna- ja ventilatsiooni puhastus"/>
        <s v="Veeanalüüsid (Terviseamet)"/>
        <s v="KÜ kommunaalmaksed (KÜ Järve 2-10)"/>
        <s v="Reoveekäitlus"/>
        <s v="Sotsiaalteenused (transport jms)"/>
        <s v="Lilled, üritused, sünnipäevad"/>
        <s v="Sõidukite majandamiskulud"/>
        <s v="Kokkade koolitused"/>
        <s v="Bürootarbed jms (nt. postikulud)"/>
        <s v="Info- ja kommunikatsioonitehnoloogia kulud"/>
        <s v="Tamrex tulekahjusüsteemide hooldustööd /suitsueemaldusluugid"/>
        <s v="ATS süsteemide hooldus"/>
        <s v="Laudlinad epesutöötlus"/>
        <s v="Lilled/hooneümbrune haljastus"/>
        <s v="Naiste Tantsupeo osalustasu"/>
        <s v="Lilled tähtpäevadeks"/>
        <s v="Kööki vahustaja"/>
        <s v="Lumepuhur"/>
        <s v="Värviprinter"/>
        <s v="Sülearvutid logopeedile, liikumisõpetajale"/>
        <s v="Muud med.vahendid"/>
        <s v="Õpetajate leht"/>
        <s v="Rasvapüüduri teenused"/>
        <s v="Muud bürookulud, kuulutused jms"/>
        <s v="IT vahendid (kaablid jms)"/>
        <s v="Muud ootamatud kulud"/>
        <s v="Arhiivi päringud jm tasulised teenused"/>
        <s v="Topoteegiga liitumine ja aastatasu"/>
        <s v="Fotode paljundus muuseumile "/>
        <s v="Esemete konserveerimine, restaureerimine"/>
        <s v="Kodulehe tegemine (domeeni registreerimine, veebimajutuse kuutasu)"/>
        <s v="Maskid"/>
        <s v="Tolmuimeja + tolmukotid"/>
        <s v="Puhastusmaterjalid ja -vahendid"/>
        <s v="Töökindad"/>
        <s v="UV-lamp, laualamp, infrapunalamp"/>
        <s v="Giljotiin"/>
        <s v="Skanmarker"/>
        <s v="Toonerid"/>
        <s v="Hallitustõrjevahendid jms korrashoiuvahendid"/>
        <s v="Arhiivikarbid, kaaned, jms bürootarbed"/>
        <s v="Mitmesugused majanduskulud"/>
        <s v="Suusaradade hooldamiseks kuluv kütus"/>
        <s v="Suusaradade hooldused"/>
        <s v="Haapsalu, Sillamäe reha. Asutus"/>
        <s v="Puude langetamine"/>
        <s v="Käimla tühjendused"/>
        <s v="Laste väljasõidud"/>
        <s v="Õpetajate õppeekskursioonid"/>
        <s v="Lõpetajate kingitused"/>
        <s v="Isiklik abistaja, tugiisik täiskasvanule (sisaldab maksusid) - nt. Jane Pabberit"/>
        <s v="Lääne-Viru Puuetega Inimeste Koda tegevustoetus"/>
        <s v="Lastetoolid"/>
        <s v="Ulvi LA ja Ulvi kodu vahelised ümbertõstmised"/>
        <s v="Koolitused jms haridusüritused"/>
        <s v="Projektide kaasfinantseerimised"/>
        <s v="Traditsioonilised üritused"/>
        <s v="Koolide kohatasud"/>
        <s v="Lasteaedade kohatasud"/>
        <s v="Varjupaik + Naiste Varjupaik"/>
        <s v="Rakvere Kodutute Varjupaik - teenuse ost"/>
        <s v="Erakorraline toetus"/>
        <s v="Vältimatu sotsiaalabi"/>
        <s v="Kanalisatsiooni tühjendus"/>
        <s v="Käelise tegevuse asjad,markerid,paberid,liim,värvid,rekvisiit,lilled"/>
        <s v="Tantsupeo osalustasu"/>
        <s v="Prožektorid, kõlarite juhtmed"/>
        <s v="Korrashoiuvahendid (sh. pisiremondid)"/>
        <s v="Bürootarbed (paber, tooner, jne)"/>
        <s v="Üritused, lilled jne"/>
        <s v="Söögilauad (3TK)"/>
        <s v="Madratsid"/>
        <s v="Köögitarvikud"/>
        <s v="Riidekapp"/>
        <s v="Prügivedu, energia kontroll"/>
        <s v="Esinduskulud"/>
        <s v="Ajalehed (virumaa teataja, kodutohter)"/>
        <s v="Huvijuht"/>
        <s v="Hooldajate asendajad"/>
        <s v="Koristaja asendaja"/>
        <s v="Tudu kool kokk palgatõus"/>
        <s v="Sotsiaalteenused"/>
        <s v="Voodikapp lauaga"/>
        <s v="Teleteenused Elisa"/>
        <s v="Saku Läte"/>
        <s v="Emajõe Veevärk"/>
        <s v="Perenaise asendamine"/>
        <s v="Internet"/>
        <s v="Kanalisatsioonitühjendamine"/>
        <s v="Korstnapühkimine"/>
        <s v="Lilled hoone juurde"/>
        <s v="Pesutöötlusteenus"/>
        <s v="Muud bürootarbed"/>
        <s v="Tulekustutite kontroll"/>
        <s v="Sportimiskulude hüvitamine"/>
        <s v="Koristaja asendamine"/>
        <s v="Perevanemad 18 in alates 01.09.2021 töö 7 majaga"/>
        <s v="vesi-kanalisatsioon"/>
        <s v="Inventari majandamiskulud (soetused, riided ja jalanõud)"/>
        <s v="Toiduained ja toitlustusteenused + kaugel õppijad"/>
        <s v="Meditsiinikulud ja hügieenikulud, tervisekontroll"/>
        <s v="Liising Renault "/>
        <s v="Liising Peugeot"/>
        <s v="tehnoseadmed"/>
        <s v="el.käidu leping"/>
        <s v="U.K.V ats hooldussüsteem"/>
        <s v="prügi"/>
        <s v="Õppevahendid: koolitarbed (sh eririietus)"/>
        <s v="Koolituse kulud"/>
        <s v="Puhkuseasendaja 3 in"/>
        <s v="Majandustöötaja"/>
        <s v="Perede tugitöötaja"/>
        <s v="Taskurahad"/>
        <s v="Pisiremont, san. tehnilised tööd"/>
        <s v="Koolibussi hooldus ja remondikulud"/>
        <s v="Suverehvid (koolibussile)"/>
        <s v="Koolibussi liikluskindlustus"/>
        <s v="Haridusserver"/>
        <s v="Sülearvuti (2 tk) õpetajatele vanade asendamiseks"/>
        <s v="Seadmete remondid"/>
        <s v="Klaverite häälestamine"/>
        <s v="Töötajate prillid"/>
        <s v="Esmaabikapi tarbed (plaastrid, sidemed)"/>
        <s v="Töötervishoiuarsti visiidid"/>
        <s v="ATV bensiin suusaradade korrashoiuks"/>
        <s v="Kodundus"/>
        <s v="Õppeköök"/>
        <s v="Tehnoloogiaõpetus"/>
        <s v="Sporditarbed"/>
        <s v="Printeripaber"/>
        <s v="Muud õppevahendid (CD, paberid, liim, pastapliiatsid jne)"/>
        <s v="Töövihikud"/>
        <s v="Õpikud"/>
        <s v="Õppeekskursioonid õpetajatele"/>
        <s v="Spordipäevade auhinnad"/>
        <s v="Lilled ürituste dekoreerimiseks"/>
        <s v="Õpilaste premeerimine saavutuste puhul"/>
        <s v="Isikliku sõiduauto kompensatsioonid (M. Karlson-Karv)"/>
        <s v="Isikliku sõiduauto kompensatsioonid (direktor)"/>
        <s v="Isikliku sõiduauto kompensatsioonid (noorsootöötaja)"/>
        <s v="Isikliku sõiduauto kompensatsioonid (H.Supper)"/>
        <s v="Isikliku sõiduauto kompensatsioonid (U. Kruusimägi)"/>
        <s v="Isikliku sõiduauto kasutus (P. Lumiste)"/>
        <s v="Isikliku sõiduauto kasutus (H. Arro)"/>
        <s v="Bürootarbed (pastakad, toonerid jne)"/>
        <s v="Sotsiaalkorterite remont"/>
        <s v="ATS hooldus"/>
        <s v="Võrgulepingute 6 kuu optimeerimise leping"/>
        <s v="Inventar"/>
        <s v="Sõidukite kindlustused"/>
        <s v="Korstnapühkimisteenus, katlamaja hooldus"/>
        <s v="Teeservade niitmine"/>
        <s v="Kodud Tuleohutuks 500 kodu osalemine"/>
        <s v="Sotsiaalkorterite remont +kuur Allika, keldrid"/>
        <s v="Toolid"/>
        <s v="Ajalehed Virumaa Teataja, Eesti Ekspress"/>
        <s v="Rahvakultuurikeskuse üritused"/>
        <s v="Ürituste dekoratsioonid"/>
        <s v="Tuleohutuskoolitus "/>
        <s v="Reklaamplakatid"/>
        <s v="Noorteteater"/>
        <s v="Maaliring"/>
        <s v="Lauluselts"/>
        <s v="Korrashoiuvahendid jms"/>
        <s v="Pisiremondid, vahendid, mis eelpool nimetamata"/>
        <s v="Elektritööd Rahvamajas"/>
        <s v="Ringijuht &quot;Pärlike&quot;"/>
        <s v="Bändiring"/>
        <s v="Kommunikatsiooni-, kultuuri- ja vaba aja sisustamise kulud - spordisündmuste kulud - Laekvere-Simuna rahvajooks ja Munadepüha turniir korvpallis. Peale selle igasugu väiksemaid võistlusi. Nende sündmuste majandamiseks peamiselt auhinnad ja kohtunike rahad."/>
        <s v="Pisiremondivahendid"/>
        <s v="Inventari majandamiskulud, sulgpalli reketite keelestus, reketite teibid, purunenud reketite asendus. jõusaali masinate hooldus (koormuslindid ja jooksuraja lindi õlid), igasugused spordivahendid - pallid (sulgpall, võrkpall, korvpall)"/>
        <s v="Mitmesugused majanduskulud - siseruumide koristusvahendid, lapid, mopid, wc, kogu keemia, koristatav pind on päris suur. õues murureha, roundup mürk äärekividel, töövahendid ja kindad"/>
        <s v="Pajusti LA uus logo ja silt"/>
        <s v="Õpetajatele arvutid rühmruumidesse"/>
        <s v="Potid, pannid jms"/>
        <s v="Pajusti LA juubel 50"/>
        <s v="Telia sideteenused"/>
        <s v="Õppevahendid"/>
        <s v="Õpilaste väljasõidud, üritused"/>
        <s v="Kontoritarbed"/>
        <s v="Side reserv"/>
        <s v="IT vahendid (hiir, klaviatuur, monitor jms)"/>
        <s v="Muud tarvikud"/>
        <s v="Kaamerad"/>
        <s v="Arvutid"/>
        <s v="Gümnaasiumi õpetajate töötasu"/>
        <s v="Laekvere kooli kokk palgatõus"/>
        <s v="Vinni LA kokk palgatõusu maksud"/>
        <s v="Vinni LA majandusjuhataja palgatõus "/>
        <s v="Pajusti LA juhataja palgatõus"/>
        <s v="Pajusti LA kokk palgatõusu maksud"/>
        <s v="Kulina LA kokk palgatõus maksud"/>
        <s v="Tudu kool kokk palgatõusu maksud"/>
        <s v="Laekvere kooli köögitöölise palgatõus"/>
        <s v="VPG köögitööliste palgatõus"/>
        <s v="VPG majandusjuhataja palgatõus"/>
        <s v="Laekvere RM juhataja palgatõus"/>
        <s v="Laekvere RM hoidja palgatõus"/>
        <s v="Laekvere kooli kokk palgatõusu maksud"/>
        <s v="Vinni LA majandusjuhataja palgatõusu maksud"/>
        <s v="Pajusti LA juhataja"/>
        <s v="Kokk lisatasu riigipüha"/>
        <s v="Kokkade asendamised"/>
        <s v="Laekvere kooli köögitöölise palgatõusu maksud"/>
        <s v="VPG köögitööliste palgatõusu maksud"/>
        <s v="VPG majandusjuhataja"/>
        <s v="Laekvere RM juhataja palgatõusu maksud"/>
        <s v="Laekvere RM hoidja palgatõusu maksud"/>
        <s v="Koolitused"/>
        <s v="Üritused"/>
        <s v="TÖÖJÕUKULUDEGA KAASNEVAD MAKSUD JA SOTSIAALKINDLUSTUSMAKSED Koristaja puhkuse ajaks tööettevõtulepinguga seotud töötasu "/>
        <s v="Koristaja puhkuse ajaks tööettevõtulepinguga seotud töötasu"/>
        <s v="Lähetuskulud seoses bussiremondiga"/>
        <s v="Muud ettenägematud bussiga seotud kulud"/>
        <s v="Reserv"/>
        <s v="Inventari vajadused"/>
        <s v="Jalgrataste hoolduspost"/>
        <s v="2021 aastal planeeritud Euroopa MV orienteerumises lükati edasi 2022 aastasse."/>
        <s v="Koolide ja lasteaedade spordipäevad, Vinni-Pajusti Rattasõit 2022"/>
        <s v="Suusaradade hoolduseks ATV rent"/>
        <s v="Suusaradade hooldamiseks kütus"/>
        <s v="Suusaradade hooldamiseks vajaminevad tööriistad, muud abivahendid"/>
        <s v="Staadioni hooldamine"/>
        <s v="Valda esindavatele sportlastele kulude hüvitamine (transport)"/>
        <s v="Valla spordiüritustel osalemised"/>
        <s v="Arvutitool"/>
        <s v="Sülearvuti"/>
        <s v="Pajusti LA juubeli puhul töötajatele preemia"/>
        <s v="Pajusti LA juubeli puhul töötajatele preemiaga seotud maksud"/>
        <s v="Ajakirjade tellimus 2022"/>
        <s v="Korrashoiuvahendid vms"/>
        <s v="Raamatukogu 75 a juubeli tähistamine(asut 01.10.47) Külalisesinejad"/>
        <s v="Muud majandamiskulud"/>
        <s v="Saali rulood"/>
        <s v="Üritusteks kulud"/>
        <s v="Kooli kokkutulek"/>
        <s v="Muud raamatupidamise teavikud"/>
        <s v="Pangalaenu lepingutasu"/>
        <s v="Gaasiballoonide rent"/>
        <s v="Vallamaja pisiremonttööd"/>
        <s v="Pingid"/>
        <s v="Kohvimasina hooldus"/>
        <s v="Õpetaja abi palgatõus 6in"/>
        <s v="Õpetaja abi palgatõusu maksud"/>
        <s v="Õpetaja abi palgatõus 3in"/>
        <s v="Õpetaja abi palgatõus 0,8 koormusega"/>
        <s v="Õpetaja abi palgatõusu maksud 0,8 koormusega"/>
        <s v="Õpetaja abi palgatõus 1in"/>
        <s v="Õpetaja abi palgatõus 2in"/>
        <s v="Traktorist-majandustööline palgatõus"/>
        <s v="Heakorra ja remonditööline palgatõus"/>
        <s v="Traktorist-majandustöölise ja heakorratöölise palgatõusu maksud"/>
        <s v="Kalmistuvahtide palgatõus"/>
        <s v="Kalmistuvahtide palgatõusu maksud"/>
        <s v="Spordihoone juhataja palgatõus"/>
        <s v="Spordihoone juhataja palgatõusu maksud"/>
        <s v="Viru-Jaagupi RM juhataja palgatõus"/>
        <s v="Vinni RM juhataja palgatõus"/>
        <s v="Vinni RM hoidja palgatõus"/>
        <s v="Ulvi RM juhataja palgatõus"/>
        <s v="Roela RM juhataja palgatõus"/>
        <s v="Tudu RM juhataja palgatõus"/>
        <s v="Viru-Jaagupi RM juhataja palgatõusu maksud"/>
        <s v="Vinni RM juhataja palgatõusu maksud"/>
        <s v="Vinni RM hoidja palgatõusu maksud"/>
        <s v="Ulvi RM juhataja palgatõus maksud"/>
        <s v="Roela RM juhataja palgatõus maksud"/>
        <s v="Tudu RM juhataja palgatõus maksud"/>
        <s v="Juhataja palgatõus"/>
        <s v="Juhataja palgatõusu maksud"/>
        <s v="Direktori palgatõus"/>
        <s v="Direktori palgatõusu maksud"/>
        <s v="Kulina LA juhataja palgatõus"/>
        <s v="Kulina LA juhataja palgatõusu maksud"/>
        <s v="Kokk palgatõus"/>
        <s v="Abitööline palgatõus"/>
        <s v="Noorsootöötaja palgatõus"/>
        <s v="Majandusjuhataja palgatõus"/>
        <s v="Kokk palgatõusu maksud"/>
        <s v="Abitööline palgatõusu maksud"/>
        <s v="Noorsootöötaja palgatõusu maksud"/>
        <s v="Majandusjuhataja palgatõusu maksud"/>
        <s v="Raamatukoguhoidja palgatõus"/>
        <s v="Raamatukoguhoidja palgatõusu maksud"/>
        <s v="Sekretäri palgatõus"/>
        <s v="Sekretäri palgatõusu maksud"/>
        <s v="Infojuhi palgatõus"/>
        <s v="Infojuhi palgatõusu maksud"/>
        <s v="VPG kokk palgatõus"/>
        <s v="VPG kokk palgatõusu maksud"/>
        <s v="Juhataja-kokk palgatõus"/>
        <s v="Juhataja-kokk palgatõusu maksud"/>
        <s v="Tugiisik (T.Raudmäe) lepinguga palgatõus"/>
        <s v="Tugiisik (T.Raudmäe) lepinguga palgatõusu maksud"/>
        <s v="Sööklasse rulood"/>
        <s v="Sotsiaalpedagoogi palgatõus"/>
        <s v="Sotsiaalpedagoogi palgatõusu maksud"/>
        <s v="Öökasvataja palgatõus"/>
        <s v="Öökasvataja palgatõusu maksud"/>
        <s v="Tolmuimeja  "/>
        <s v="Elektripaigaldiste audit"/>
        <s v="Madratsid 10tk"/>
        <s v="Kummutid 2tk"/>
        <s v="Klassimööbel"/>
        <s v="Külmik"/>
        <s v="Veekeetja, röster"/>
        <s v="Projekt &quot;Virumaa Soome hüpe&quot; 2022.a osalus"/>
        <s v="Juubelid (sh.8 vallavalitsus, 8 hallatavat asutust)"/>
        <s v="Juubelitega seotud maksud"/>
        <s v="Arhiivitarvikud ja hävitamisteenus"/>
        <s v="Kalendermärkmikud"/>
        <s v="Muud IT vajadused"/>
        <s v="Turismiga seotud teadetetahvlid"/>
        <s v="Volikogu aseesimees"/>
        <s v="Pedagoogilised vahendid õpetajate töötasudeks"/>
        <s v="Pedagoogilised koolitusvahendid"/>
        <s v="Pedagoogiliste õppevahendite eraldis"/>
        <s v="Pedagoogilised vahendid direktori töötasuks"/>
        <s v="Pedagoogilised vahendid direktori ja õppealajuhataja töötasuks"/>
        <s v="Pedagoogilised vahendid direktori, õppealajuhataja jt töötasuks"/>
        <s v="Pedagoogiliste vahendite reserv"/>
        <s v="Laekvere kooli poiste tööõpetuse klassi väljaehitamine ja staadioni kaasajastamine"/>
        <s v="Vinni-Mõdriku kergtee valgustuse rajamine"/>
        <s v="Viru-Jaagupi raamatukogu rekonstrueerimistööd"/>
        <s v="Esmaabi koolitus"/>
        <s v="Laekvere raamatukogu laenutuskapp (katuserahad)"/>
        <s v="Laekvere tööõpetuseklassi inventar ja Vinni Spordikompleksi renoveerimiseks (katuseraha)"/>
        <s v="Harrastusteater " u="1"/>
        <s v="Koopiamasina rent" u="1"/>
        <s v="Muuga-Laekvere (maksudega)" u="1"/>
        <s v="TVL - töövõtu lepingud liikumisõpetaja 0,13 7 kuud" u="1"/>
        <s v="Kasvataja" u="1"/>
        <s v="Printeri hooldus (Overall)" u="1"/>
        <s v="Elektritööd Laekveres (Enno Mandel)" u="1"/>
        <s v="Vinni valla rahvamajade mobiilne valgustus ja varustus" u="1"/>
        <s v="Hoolde- ja remonditööde teenuse leping (Ennak Sel) Muuga kool" u="1"/>
        <s v="Eelarve rakenduse laiendustasu" u="1"/>
        <s v="Muud IT kulud" u="1"/>
        <s v="Elekrikäiduleping" u="1"/>
        <s v="Sünnitoetuste reserv" u="1"/>
        <s v="Muud soetused, algatused" u="1"/>
        <s v="Rajaküla tee" u="1"/>
        <s v="Pelleti ost" u="1"/>
        <s v="Telia teenused" u="1"/>
        <s v="Vähihaigete Liit" u="1"/>
        <s v="Administreerimiskulud, mob.telefon" u="1"/>
        <s v="Mitmesugused ettenägematud kulud" u="1"/>
        <s v="Perevanema abi" u="1"/>
        <s v="Wifi internet (Telia)" u="1"/>
        <s v="Muusikaõpetaja (ring)" u="1"/>
        <s v="Muud niitmised, trimmerdamised (Vaarmets, jt)" u="1"/>
        <s v="Huvijuht. Põhikohaga töötaja" u="1"/>
        <s v="Logopeed - topelt" u="1"/>
        <s v="Valvekaamerate vahetus" u="1"/>
        <s v="Bürootarbed, printimiskulud" u="1"/>
        <s v="Vinni Filharmoonikud" u="1"/>
        <s v="VINNI VALD, VINNI ALEVIK, ÜLASE TN 3 KORTERIÜHISTU kommunaalkulud" u="1"/>
        <s v="Tehingutega seotud notaritasud" u="1"/>
        <s v="Ruuteri, digiboksi rent" u="1"/>
        <s v="Eakate võimlemine" u="1"/>
        <s v="Majahoidja asendamise lisatasu" u="1"/>
        <s v="Noorempedagoog" u="1"/>
        <s v="Mastilipud" u="1"/>
        <s v="Rehvid sõidukitele" u="1"/>
        <s v="Tudu kool ringid (maksudega)" u="1"/>
        <s v="Kinkekotid" u="1"/>
        <s v="Pajusti LA kokk" u="1"/>
        <s v="Muuga &quot;pihla tee&quot; mustkate" u="1"/>
        <s v="Mitmikute külastustega seotud kingitused" u="1"/>
        <s v="Niitmisteenus" u="1"/>
        <s v="Õppeköök (köögi tarvikud - pannid, kausid, noad)" u="1"/>
        <s v="Lasteaia rühmaruumide remont" u="1"/>
        <s v="Tudu sauna saunatööline" u="1"/>
        <s v="Ulvi Kodu, päikesepargi rajamine" u="1"/>
        <s v="Tarvase ring" u="1"/>
        <s v="Vinni-Pajusti Gümnaasiumi küttesüsteemi rekonstrueerimine" u="1"/>
        <s v="Rakvere Muusikakool (12 last)" u="1"/>
        <s v="Eesti Mõisakoolide Ühenduse liikmemaks - Muuga mõis" u="1"/>
        <s v="Arhiivitarvikud" u="1"/>
        <s v="Asendajamiste ning riigipühalisatasuga seotud maksud" u="1"/>
        <s v="Puuetega inimeste toetus" u="1"/>
        <s v="Eesti Post teenused (arvete digitaliseerimine, postiteenused jms)" u="1"/>
        <s v="Direktori asetäitja majandus alal" u="1"/>
        <s v="Printeri tahm" u="1"/>
        <s v="Virumaa Jalgpall MTÜ" u="1"/>
        <s v="Vinni-Pajusti Gümnaasiumi päikesepargi rajamine" u="1"/>
        <s v="Poiste tööõpetuse vahendid (kruvid, naelad, vineerisaelehed,liivapaber)" u="1"/>
        <s v="Muuga kooli sotsiaalpedagoog" u="1"/>
        <s v="Vallapäevad" u="1"/>
        <s v="Koolitustel osalemine (Rauno, Vaive, Kersti, Tuuli, Inga, Kätlin)" u="1"/>
        <s v="Muud lepingulised" u="1"/>
        <s v="Info- ja kommunikatsioon - stuudium, toitlustus, microsoft planeeritud 3650 summa sees. Planeeritud finantsjuhi poolt " u="1"/>
        <s v="Advendikingitus" u="1"/>
        <s v="Tugiisik (T.Raudmäe)" u="1"/>
        <s v="Maakütte aastane hooldus" u="1"/>
        <s v="Puuetega Inimeste Koda" u="1"/>
        <s v="ATS hooldus (Rak Elekter)" u="1"/>
        <s v="Vallamaja koristuskulud, põrandate vahatamine" u="1"/>
        <s v="Kadila Naisseltsile tasuta kasutada antud ruumide kommunaalkulud" u="1"/>
        <s v="Väärikad abielud" u="1"/>
        <s v="KORTERIÜHISTU MUUGA ALLEE TEE 9 kommunaalkulud" u="1"/>
        <s v="Nõudepesumasin" u="1"/>
        <s v="Korrashoiuvahendid (prügikotid, kindad, lapid jms)" u="1"/>
        <s v="Lasteaedadele ja koolidele õuesõppetingimuste loomine" u="1"/>
        <s v="2020.a võetud laenude põhiosa tagasimaksed" u="1"/>
        <s v="Avalike mänguväljakute ja sportimispaikade rajamine, korrastamine/hooldus, turvakaamerate paigaldamine, spordiinventari soetamine" u="1"/>
        <s v="Valla sünnipäev (novembris)" u="1"/>
        <s v="Postimees Junior" u="1"/>
        <s v="Roela Tuletõrjeselts MTÜ toetus" u="1"/>
        <s v="Muuga kooli majahoidja" u="1"/>
        <s v="Telefon kasut t" u="1"/>
        <s v="Info- ja kommunikatsioonitehnoloogia kulud " u="1"/>
        <s v="Toidupanga pakkijate maksud" u="1"/>
        <s v="Väike-Maarja Muusikakool (võimalikud uued lapsed)" u="1"/>
        <s v="töötajate tervisepakett" u="1"/>
        <s v="2021.a võetud laenude põhiosa tagasimaksed" u="1"/>
        <s v="Ulvi Kodu, energiatõhusustööd (küttesüsteem, ventilatsioon, avatäited, soojustamine)" u="1"/>
        <s v="Inventari majandamiskulud- palun lisa siia selgitus, mida oled mõelnud" u="1"/>
        <s v="Tudu kool kokk" u="1"/>
        <s v="MTÜ Pajusti Vaba Aja Keskuse tegevustoetus" u="1"/>
        <s v="Kütus. Škoda, Peugeot Traveller, Citroen Berlingo, muruniidukid ja murutrimmer" u="1"/>
        <s v="Tööriided (haldusjuht, majahoidja, koristaja, traktorist jne)" u="1"/>
        <s v="Voodikast 9 tk (voodipesu hoiustamiseks)" u="1"/>
        <s v="Muuga MNS EHA kapelli juhendaja tasu" u="1"/>
        <s v="Laste turvakodu, õpilaskodu teenus" u="1"/>
        <s v="Rakvere Muusikakool (võimalikud uued lapsed)" u="1"/>
        <s v="Roela Noortemaja Telia" u="1"/>
        <s v="Meeskonna koolitused" u="1"/>
        <s v="Ekraan aulasse" u="1"/>
        <s v="Kadila noortemaja ja mänguplats" u="1"/>
        <s v="Tahmakassetid (värviline, õp.tuba, kantselei, direktor, LA)" u="1"/>
        <s v="Bürootarbed (kantseleitarbed, printeritint)" u="1"/>
        <s v="Masinate, seadmete hooldus, remont, varuosad" u="1"/>
        <s v="Kütus sõidukile" u="1"/>
        <s v="Eriarstide vastuvõtukulud" u="1"/>
        <s v="TÖÖJÕUKULUDEGA KAASNEVAD MAKSUD JA SOTSIAALKINDLUSTUSMAKSED - Logopeed topelt" u="1"/>
        <s v="Toiduained ja toitlustusteenused (21x365x2,40)" u="1"/>
        <s v="Toiduained ja toitlustusteenused (28x365x2,40)" u="1"/>
        <s v="Vallavanema auto" u="1"/>
        <s v="Remondi- ja elektrialatööline" u="1"/>
        <s v="Kaubik majandustöölisele" u="1"/>
        <s v="Mängumaja liumäega" u="1"/>
        <s v="Diivan III korrusele (vana amortiseerunud)" u="1"/>
        <s v="Emakeelepäev, teatrikuu üritus" u="1"/>
        <s v="Pikapäevarühma lisatasu (M.Lugima)" u="1"/>
        <s v="IT reserv" u="1"/>
        <s v="Madrats" u="1"/>
        <s v="Vinni aleviku multifunktsionaalse hoone" u="1"/>
        <s v="Roela Noortemaja elekter" u="1"/>
        <s v="VPG köögitööline" u="1"/>
        <s v="Eelarve jääk" u="1"/>
        <s v="Meditsiinikulud ja hügieenikulud. Esmaabi vahendid, vaktsineerimised, med.tõendid. " u="1"/>
        <s v="Esri EA aastatasu (ALPHAGIS OÜ)" u="1"/>
        <s v="Muud" u="1"/>
        <s v="Bussi kindlustus" u="1"/>
        <s v="Hügieenivahendid (maskid)" u="1"/>
        <s v="Raamatute kiled, etiketid" u="1"/>
        <s v="Geoarhiivi moodul" u="1"/>
        <s v="Elektrikäiduleping" u="1"/>
        <s v="Arvutipargi uuendamine " u="1"/>
        <s v="Bussi remondi ja hoolduskulud" u="1"/>
        <s v="Kaunis kodu auhinnafond + korraldus" u="1"/>
        <s v="Suitsueemaldussüsteemide kontroll" u="1"/>
        <s v="Roela Segakoor T.Anderson" u="1"/>
        <s v="Perevanemad (15 in)" u="1"/>
        <s v="Mobiiltelefon" u="1"/>
        <s v="Ajalehed ja bürootarbed" u="1"/>
        <s v="Toetusfondi eelarve jääk 2020.a" u="1"/>
        <s v="Viru-Jaagupi kabeli remont" u="1"/>
        <s v="Uue auto liisingmaksed" u="1"/>
        <s v="Digitaalsed tarbekoopiad Rahvusarhiivist" u="1"/>
        <s v="Kokku" u="1"/>
        <s v="Laekvere bussiootepaviljoni ehitus" u="1"/>
        <s v="Muuga kooli TÖÖJÕUKULUDEGA KAASNEVAD MAKSUD JA SOTSIAALKINDLUSTUSMAKSED" u="1"/>
        <s v="Nimetahvel pingile" u="1"/>
        <s v="Arhiiviteenusega makstavad maksud (5005)" u="1"/>
        <s v="Tööle saamist parendavad tugiteenused omaosalustasu 2021" u="1"/>
        <s v="Lasteaed Tõrutõnn rrühmaruumide rekonstrueerimine" u="1"/>
        <s v="Spordikulude hüvitamine (sh. finantsosakond)" u="1"/>
        <s v="Pakendikonteineri tühjendus, sorteerimata jäätmed, sorteerimata jäätmed jne (Jäätmekeskus)" u="1"/>
        <s v="Pikapäevarühma lisatasu (M.Veddel)" u="1"/>
        <s v="Laekvere tööõpetuseklassi inventar ja Vinni Spordikompleksi renoveerimiseks" u="1"/>
        <s v="Ujumistreener" u="1"/>
        <s v="Koolituskulud (sh koolituslähetus) koristaja" u="1"/>
        <s v="Kinnistute hooldamisega seotud masinate. seadmete rent" u="1"/>
        <s v="Vinni aleviku kergliiklustee ehitamine ja võrgustikuga ühendamine" u="1"/>
        <s v="Valvesignalisatsioon" u="1"/>
        <s v="Lauatelefon (telia)" u="1"/>
        <s v="Muuga MNS EHA kapelli juhendaja isikl.sõiduauto" u="1"/>
        <s v="Eesti Linnade ja Valdade Liidu 2021.a. liikmemaks" u="1"/>
        <s v="Virtuaalserver laekvere.eu" u="1"/>
        <s v="Elektri käiduleping (KH Energia Konsult)" u="1"/>
        <s v=" Riigieelarveline toetus munitsipaalsete koolieelsete lasteasutuste õpetajate ja juhtide täiendusõppe korraldamiseks 2021.a" u="1"/>
        <s v="Köögitarvikud, köögi seadmete remont ja hooldus" u="1"/>
        <s v="Lepingulised (Aart)" u="1"/>
        <s v="Failikapp (4 sahtlit)" u="1"/>
        <s v="Spordiõppevahendid (kõrgushüppe postid, tõkked)" u="1"/>
        <s v="Tudu Rahvamaja küttepuud" u="1"/>
        <s v="Töötervishoiuarsti visiit (haldusjuht)" u="1"/>
        <s v="Office ProPlus Edu (kõikide ametiasutuste)" u="1"/>
        <s v="Kohalike teede moodul GEODATA" u="1"/>
        <s v="Majandusjuhataja Lasteaia ülesannetes" u="1"/>
        <s v="Kantseletarbed, kuulutused jms" u="1"/>
        <s v="Ringijuhtide maksukulu" u="1"/>
        <s v="Valvur - töölepingu lõpp 31.01.2020" u="1"/>
        <s v="Isikliku sõiduauto kompensatsioonid (500€/aasta)" u="1"/>
        <s v="Prügivedu, konteineri rent (Ragn-Sells) Muuga kool" u="1"/>
        <s v="Teatristuudio (noored) " u="1"/>
        <s v="Esindus - ja vastuvõtu kulud (Joogiekspert)" u="1"/>
        <s v="Avaliku teenistuse ametnike maksukulud (5001)" u="1"/>
        <s v="Gümnaasiumi kohatasud" u="1"/>
        <s v="Pedagoogilised majanduskulud" u="1"/>
        <s v="Kinnistute, hoonete ja ruumide majandamiskulud. Korrashoiuvahendid, ATS hooldus, ventilatsiooni hooldus ja pisiremont, san.remont." u="1"/>
        <s v="Hoolde- ja remonditööde lepingulised maksed" u="1"/>
        <s v="Ülevallaline laste suvelugemis- ja tunnustamisüritus" u="1"/>
        <s v="Mänguväljakute hooldus" u="1"/>
        <s v="Töötool" u="1"/>
        <s v="Koolituse sõidukulud" u="1"/>
        <s v="Suvelilled" u="1"/>
        <s v="Lepinguliste maksud" u="1"/>
        <s v="Kohviaparaadi rent" u="1"/>
        <s v="Desifitseerimisained ja vahendid, esmaabivahendid" u="1"/>
        <s v="Muuga kooli koristaja" u="1"/>
        <s v="Kindlustus sõidukitele" u="1"/>
        <s v="Bensiin aiatehnikale" u="1"/>
        <s v="Jahindusseltside tegevustoetus" u="1"/>
        <s v="Õpetajate ühiskoolitused" u="1"/>
        <s v="Laborant (R.Nurk)" u="1"/>
        <s v="Volikogu lisatasud" u="1"/>
        <s v="Kulina LA kokk" u="1"/>
        <s v="Huvijuhi töötasu tuleb ringijuhtide eelarvest ehk Margiti eelarvest" u="1"/>
        <s v="Viru-Jaagupi raamatukogu automaatse tulekahjusignalisatsiooni hooldus (U.K.V)" u="1"/>
        <s v="CO2 mõõturid" u="1"/>
        <s v="Lõpetamine (kingitused lõpetajatele) - kool+lasteaed" u="1"/>
        <s v="Assistendi ametikoht muudatus õpetaja ametikohaks" u="1"/>
        <s v="Roela Noortemaja vesi" u="1"/>
        <s v="Vallavalitsuse koosseisu maksukulud (5000)" u="1"/>
        <s v="Sõidukite remont, hooldus, varuosad" u="1"/>
        <s v="Tamrexi koolitus Rahvamaja personalile" u="1"/>
        <s v="Raamatupidamise teabevara veebiväljaanne (Äripäev)" u="1"/>
        <s v="Raamatukogude päevad" u="1"/>
        <s v="Muuga kooli õpetaja (H.Meltsas)" u="1"/>
        <s v="Info- ja kommunikatsioonitehnoloogia kulud - andmeside (puudub antud kulu)" u="1"/>
        <s v="Valla embleemi kleebised" u="1"/>
        <s v="Blueray mängija+projektor" u="1"/>
        <s v="Ruuteri, digiboksi rent - sisaldub admin. Kulude hulgas vastavalt selgitustele" u="1"/>
        <s v="Kodunduse õppevahendid (käsitöövahendid, toiduained)" u="1"/>
        <s v="Muuga allee välisvalgustus" u="1"/>
        <s v="Piret Mets Väike-Maarja TK (Laekvere) Transpordikulu" u="1"/>
        <s v="Domeeni registreeringu pikendamine laekvere.eu" u="1"/>
        <s v="Med.õde" u="1"/>
        <s v="Kinnistute, hoonete ja ruumide majandamiskulud. Korrashoiuvahendid, ATS hooldus, ventilatsiooni hooldus ja pisiremont, san.remont. VPG planeeritud kulud sisaldavad etteplaneeritud kulutusi (el.käiduteenus, prügivedu, kahjuritõrje, G4S, USS, Lindström)" u="1"/>
        <s v="Õpetaja (kasvataja)" u="1"/>
        <s v="Prügivedu (Ragn-Sells)" u="1"/>
        <s v="Laekvere RM juhataja" u="1"/>
        <s v="Õppevahendid, teavikud" u="1"/>
        <s v="Pikapäevarühma lisatasu (R.Lille)" u="1"/>
        <s v="Pikapäevarühma lisatasu (P.Lumiste)" u="1"/>
        <s v="Citroen Berlingo rendimaksed(leping kuni 07) ehk pikendatakse" u="1"/>
        <s v="Toidupanga pakkijad" u="1"/>
        <s v="Jäätmejaama rajamine" u="1"/>
        <s v="Antud sihtfinantseerimine tegevuskuludeks (vastavalt komisjoni otsusele)" u="1"/>
        <s v="Õuealahooldaja-remondimees" u="1"/>
        <s v="Muud kinnistuga seotud kulud" u="1"/>
        <s v="Õpilaste kaugõppega seotud vahendite soetamine" u="1"/>
        <s v="Dekoratsioonid üritustele" u="1"/>
        <s v="Lilled, kingitused, meened" u="1"/>
        <s v="Naisansansambel R.Alavere" u="1"/>
        <s v="San.remondi materjalid" u="1"/>
        <s v="Ajalehed, ajakirjad" u="1"/>
        <s v="Laekvere kooli köögitööline" u="1"/>
        <s v="Televisioon (elisa)" u="1"/>
        <s v="Ajalehtedes kuulutused, reklaamid" u="1"/>
        <s v="Elekter Muuga kool" u="1"/>
        <s v="Koolituskulud (sh koolituslähetus) juhataja" u="1"/>
        <s v="Öökasvataja" u="1"/>
        <s v="Õpetaja (M.Sepping) osa tasust" u="1"/>
        <s v="Bussi hooldus" u="1"/>
        <s v="Sõiduauto majandustöölisele" u="1"/>
        <s v="Munitsipaallasteaedade kohatasud" u="1"/>
        <s v="Ringijuht Seeniortants" u="1"/>
        <s v="Ulvi teeninduskeskuse / arstipunkti soojustamine" u="1"/>
        <s v="Citroen Berlingo 090BRV Rent (kehtiv)" u="1"/>
        <s v="Ettenägematud vaktsiinid" u="1"/>
        <s v="ÜVK arendamise kava investeeringute kaasrahastamine 2020.a " u="1"/>
        <s v="Roela truubi äärse korrastamine" u="1"/>
        <s v="Pikapäevarühma lisatasu (M.Mager)" u="1"/>
        <s v="Vinni LA kokk" u="1"/>
        <s v="Põhikooli kohatasud" u="1"/>
        <s v="Ravimid, hügieenitarbed" u="1"/>
        <s v="Niitmisega seotud küttekulud" u="1"/>
        <s v="Tegevustoetuste reserv" u="1"/>
        <s v="Haridusasutuste jõululõuna" u="1"/>
        <s v="HEV koordinaatori palgamaksud" u="1"/>
        <s v="Pangateenustasud" u="1"/>
        <s v="Viirustõrje arvutile" u="1"/>
        <s v="Soojusenergia" u="1"/>
        <s v="Töötajate töötasu. Õpetaja abi  + 0,7 kohta" u="1"/>
        <s v="Õppevahendite ja koolituse kulud. Paljunduspaber, õpik, töövihik, mänguasjad, õppetransport" u="1"/>
        <s v="Signalisatsioon" u="1"/>
        <s v="Pikapäevarühma lisatasu (A.Vahesalu)" u="1"/>
        <s v="Naistantsurühm &quot;Sõbratarid&quot; sõiduautokomp." u="1"/>
        <s v="Laagri korraldamisega seotud kulud" u="1"/>
        <s v="Muuga kooli kokk" u="1"/>
        <s v="Kinnistute, hoonete ja ruumide majandamiskulud (Telia)" u="1"/>
        <s v="a. Jäätmeringid (ohtlikud jäätmed, sh eterniit);  b. ebaseaduslikult ladestatud jäätmete koristamine KOV maadelt; c. konteinerite tühjendus ja rent (või väljaostmine); Valdavalt püsikulu" u="1"/>
        <s v="Roela tehnikaring (Fixum)" u="1"/>
        <s v="Vinni LA majandusjuhataja" u="1"/>
        <s v="Windows 10 Edu upgrade (kõikide ametiasutuste)" u="1"/>
        <s v="Kantseleitarbed (kalendrid, pastapl., liim jne)" u="1"/>
        <s v="Trepi käsipuu" u="1"/>
        <s v="Kesk 15, Viru-Jaagupi katuse remont" u="1"/>
        <s v="Kohvitassid, nõud" u="1"/>
        <s v="Riided , jalanõud" u="1"/>
        <s v="Koolituskulud (sh koolituslähetus) " u="1"/>
        <s v="Juubelipreemiate maksud" u="1"/>
        <s v="Interneti püsiühendus (Telia)" u="1"/>
        <s v="Koka asendaja" u="1"/>
        <s v="Niitmine (Ehitme OÜ)" u="1"/>
        <s v="Lepingulised (suvel trimmerdajad)" u="1"/>
        <s v="Eakate toetused" u="1"/>
        <s v="Lauaarvuti (ilma monitorita)" u="1"/>
        <s v="Sülarvutid õpetajatele (2tk)" u="1"/>
        <s v="Kultuuriasutuste jõululõuna + Muuga Spordihoone" u="1"/>
        <s v="Sülearvuti 1 tk majandusjuhatajale" u="1"/>
        <s v="Pikapäevarühma lisatasu (R. Kirsipuu)" u="1"/>
        <s v="Virumaa Koostöökogu MTÜ liikmemaks - 2021 tõused hind 1€/elaniku kohta" u="1"/>
        <s v="Kohvimasina rent" u="1"/>
        <s v="TÖÖJÕUKULUDEGA KAASNEVAD MAKSUD JA SOTSIAALKINDLUSTUSMAKSED - Õpetaja abi + 0,7 kohta + pikapäevarühm" u="1"/>
        <s v="Isikliku sõiduauto kompensatsioonid (kodus hääletamine, übrikute vahetamine 2x, koolitusele sõit)" u="1"/>
        <s v="Muruniitmine" u="1"/>
        <s v="KÜ kommunaalmaksed (KÜ Roela Männiku)" u="1"/>
        <s v="Üritused (nt. muuseumiöö)" u="1"/>
        <s v="Peretoetused " u="1"/>
        <s v="Printerile tahm" u="1"/>
        <s v="Administreerimiskulud (bürootarbed, printeri tint/tahm)" u="1"/>
        <s v="Prügikonteinerite valvekaamerate internet (Telia)" u="1"/>
        <s v="Ülevallaline raamatulugejate tunnustusüritus" u="1"/>
        <s v="Väljasõidud (kino, teater jne)" u="1"/>
        <s v="Rahvatants &quot;Kanarbik&quot; M.Moor" u="1"/>
        <s v="Kasvataja abi" u="1"/>
        <s v="Töötajate maksukulu (5002)" u="1"/>
        <s v="Tudu kooli üleviimine pelletküttele" u="1"/>
        <s v="Pikapäevarühma lisatasu (M.Trofimov)" u="1"/>
        <s v="Laudlinade ja pesutöötlusteenus" u="1"/>
        <s v="Kantseleispetsialist lisatasu - registriandmete korrastamine" u="1"/>
        <s v="Reoveepumpade hooldus" u="1"/>
        <s v="Prügivedu + energiakontroll" u="1"/>
        <s v="Amphora dokumendihaldustarkvara kuutasud" u="1"/>
        <s v="VIROL liikmemaks 2021" u="1"/>
        <s v="Sõidukite, masinate hooldus, remont, varuosad, ülevaatused" u="1"/>
        <s v="Raamatukogu tagastuskapp" u="1"/>
        <s v="A3 skänner" u="1"/>
        <s v="Tõlgiteenus" u="1"/>
        <s v="Arhiiviteenus" u="1"/>
        <s v="Telefon ja internet" u="1"/>
        <s v="Lepingulised (Arba)" u="1"/>
        <s v="Laekvere Rahvamaja, energiatõhusustööd (projekteerimine, ventilatsioon, soojustamine)" u="1"/>
        <s v="Valvekaamerad" u="1"/>
        <s v="Tavapärased ravimid, hügieenitarbed" u="1"/>
        <s v="Kontoritarbed (paber jne)" u="1"/>
        <s v="Süstematiseerimise ja arhiveerimistarvikud ()arhiveerimiskarbid, klambrid jms)" u="1"/>
        <s v="Muude lepinguliste maksud" u="1"/>
        <s v="Pikapäevarühma lisatasu (A.Laaspere)" u="1"/>
        <s v="Naiskvartett &quot;Sära&quot; R.Alavere" u="1"/>
        <s v="Signalisatsioon (G4S)" u="1"/>
        <s v="Roela lasteaed-põhikool -  päikesepaneelide paigaldamine katusele" u="1"/>
        <s v="Kinnistute, hoonete ja ruumide majandamiskulud - voodipesu, käterätikud 20 kompl." u="1"/>
        <s v="Isikliku sõiduauto kompensatsioonid (V.Klemmer)" u="1"/>
        <s v="Tänavavalgustus" u="1"/>
        <s v="Lähetuskulud (v.a koolituslähetus)" u="1"/>
        <s v="Klaveri häälestamine (4 klaverit)" u="1"/>
        <s v="Õppevahendid (värvil.paber,joonistuspaber,värvid,mänguasjad)" u="1"/>
        <s v="Rahvakultuurikeskuse korraldatavad üritused" u="1"/>
        <s v="Heakorratööline suve perioodiks (2inx6 kuudx584€)" u="1"/>
        <s v="Linade, pesutöötlusteenus" u="1"/>
        <s v="Ohtlike puude langetus (Tudu)" u="1"/>
        <s v="Jäätmekava ülevaatus" u="1"/>
        <s v="Lapsehoidja" u="1"/>
        <s v="Katlakütja jaanuari töötasu + 1 kuu koondamishüvitis + puhkusetasu" u="1"/>
        <s v="Pärjad" u="1"/>
        <s v="Korrahoiu- ja pisiremondivahendid" u="1"/>
        <s v="Niitmine, tõstuki rent (Fixum)" u="1"/>
        <s v="Vesi ja kanalisatsioon Muuga kool" u="1"/>
        <s v="Kooliteenija" u="1"/>
        <s v="Reklaamkingid (prillilapid, pastakad, kruusid jms)" u="1"/>
        <s v="Kahjuritõrje (Rentokil) Muuga kool" u="1"/>
        <s v="Regionaalsete sündmuste kuvamine kultuurikava ee veebikeskkonnas ja omavalitsuse kodulehel (VIROL)" u="1"/>
        <s v="Projektis osalemine &quot;Kunstilaager...&quot;" u="1"/>
        <s v="Lääne-Virumaa Sclerosis Multipleksi Ühing" u="1"/>
        <s v="Projektis osalemine " u="1"/>
        <s v="Õppeekskursioon õpetajatele" u="1"/>
        <s v="Gripivaktsiin" u="1"/>
        <s v="Kindlustus. Škoda, Peugeot, Citroen" u="1"/>
        <s v="Telia TV, internet, lauatelefon jne" u="1"/>
        <s v="Korvtõstuki rent " u="1"/>
        <s v="Printer" u="1"/>
        <s v="Lääne-Viru Haridusjuhtide Liidu liikmemaks" u="1"/>
        <s v="Roela lasteaed-põhikool, energiatõhusustööd 2019" u="1"/>
        <s v="Vinni-Pajusti avaliku ruumi arendamine (Kirjandustammik, vaateplatvorm, VPG ala)" u="1"/>
        <s v="Segaolmejäätmete äravedu mahuti 600-660 l (Jäätmekeskus)" u="1"/>
        <s v="Ohtlike puude langetus" u="1"/>
        <s v="Bürootarbed, printerile tahm jms" u="1"/>
        <s v="Mitmesugused majanduskulud (kaitsevahendid jms vahendid)" u="1"/>
        <s v="Ravikindlustuseta kindlustamata isikud" u="1"/>
        <s v="Kütus 50000km*36l/100le*1,3eur/l" u="1"/>
        <s v="Vinni valla Tudu VTÜ" u="1"/>
        <s v="Spordikompleksi üür 3x100" u="1"/>
        <s v="Teavikute etiketid" u="1"/>
        <s v="Juubelipreemiatega kaasnevad maksud" u="1"/>
        <s v="Lepingulised (päevakeskus)" u="1"/>
        <s v="Lapsehoidja ametikoha muudatus õpetaja ametikohaks 613€/kuu 2 in" u="1"/>
        <s v="Muuga MNS EHA kapelli juhendaja maksukulu" u="1"/>
        <s v="Prügikonteineri rent (Jäätmekeskus)" u="1"/>
        <s v="Ringijuht" u="1"/>
        <s v="Elektriauto laadimised vms kulud" u="1"/>
        <s v="Näpi kooli õpilaskodu" u="1"/>
        <s v="Valveseadmete rent (Skarabeus)" u="1"/>
        <s v="Info- ja kommunikatsioonitehnoloogia kulud. Arvutitevärskendus, tarkvara litsentsid, riistvara. " u="1"/>
        <s v="remondivahendid" u="1"/>
        <s v="Vallavanema maksukulud (5000)" u="1"/>
        <s v="Valitsuse liikmete jõululõuna" u="1"/>
        <s v="500 kodu korda omaosalus" u="1"/>
        <s v="Invetari remondi ja hoolduskulud" u="1"/>
        <s v="Köögiriiul" u="1"/>
        <s v="TTÜ koostööprojektiga kaasnevad maksud" u="1"/>
        <s v="Ehitus,- remondi- ja majandustööline" u="1"/>
        <s v="Pedagoogilised tööatasu vahendid" u="1"/>
        <s v="Kantseleikulu" u="1"/>
        <s v="Näitering &quot;Kartoffel&quot; M.Hirtentreu" u="1"/>
        <s v="Ohtlike puude langetus (Viru-Jaagupi)" u="1"/>
        <s v="RIKS rent" u="1"/>
        <s v="ADVEN leppetrahv" u="1"/>
        <s v="Laenude võtmine" u="1"/>
        <s v="Remondimehe maksukulu" u="1"/>
        <s v="Ümbrikud, paberid jms dokumentide, fotode süstematiseerimiseks, arhiveerimisek" u="1"/>
        <s v="Prillide kompensatsioon  (6 in)" u="1"/>
        <s v="Lääne Virumaa Kurtide Ühing" u="1"/>
        <s v="Telia, internet, TV, mobiilside" u="1"/>
        <s v="Interneti kuutasu (Telia)" u="1"/>
        <s v="Toiduained ja toitlustusteenused (6480x1,30)" u="1"/>
        <s v="Valverühm - õpetaja asendamine ca. 64 pv " u="1"/>
        <s v="Juubelitoetused (+ lilled)" u="1"/>
        <s v="Väike-Maarja Muusikakool (4 last)" u="1"/>
        <s v="Jaanika käsitöö " u="1"/>
        <s v="TVL - töövõtu lepingud logopeed 8 kuud" u="1"/>
        <s v="Vinni Perekodu päikesepargi rajamine" u="1"/>
        <s v="Soojussõlme hooldus" u="1"/>
        <s v="Tööstuslik pesumasin" u="1"/>
        <s v="Riigihanke teabevara (Äripäev)" u="1"/>
        <s v="Abipolitseinikele" u="1"/>
        <s v="Koolituskulud (sh koolituslähetus).Tuleohutuskoolitus, Tehn.personali tööalane koolitus" u="1"/>
        <s v="Kommunikatsiooni-, kultuuri- ja vaba aja sisustamise kulud. Mälumängud, spordivõistlused, meened jm." u="1"/>
        <s v="Breiktants" u="1"/>
        <s v="Tudu vabatahtliku pääste inventari soetamine" u="1"/>
        <s v="Pikapäevarühma lisatasu (S.Tölpt)" u="1"/>
        <s v="Lilled sünnipäevaks" u="1"/>
        <s v="R-TAKSO OÜ" u="1"/>
        <s v="ATS Hooldusteenus" u="1"/>
        <s v="Muuga kooli mõisaperenaine" u="1"/>
        <s v="Vinni piirkonna tööliste maksud" u="1"/>
        <s v="Arhiiviteenusega makstavad maksud" u="1"/>
        <s v="Kommunikatsiooni-, kultuuri- ja vaba aja sisustamise kulud - spordisündmuste kulud - Laekvere-Simuna rahvajooks ja Munadepüha turniir korvpallis. Peale selle igasugu väiksemaid võistlusi. Nende sündmuste majandamiseks peamiselt auhinnad ja kohtunike rahad. Rahvajooksule otsin alati raha veel juurde" u="1"/>
        <s v="Puhast.vahendid, tualett- ja käterätipaber, lampide vahetus" u="1"/>
        <s v="Õpetaja abide palgatõus" u="1"/>
        <s v="Isikliku sõiduauto kompensatsioonid (mõisaperenaine)" u="1"/>
        <s v="Lepingulised" u="1"/>
        <s v="Liigieraldajad" u="1"/>
        <s v="MTÜ Johanna tegevustoetus" u="1"/>
        <s v="Postikulu, kuulutused" u="1"/>
        <s v="Laekvere RM hoidja" u="1"/>
        <s v="Kodukohvikud" u="1"/>
        <s v="TTÜ koostööprojekt" u="1"/>
        <s v="Laekvere piirkonna talgud" u="1"/>
        <s v="Mahuti rent (240 l) Jäätmekeskus" u="1"/>
        <s v="Koristaja asendamise lisatasu" u="1"/>
        <s v="Lääne-Viru Puuetega Inimeste Koda" u="1"/>
        <s v="Paasvere külamaja hoone kulud" u="1"/>
        <s v="Muuga kooli infojuht" u="1"/>
        <s v="KÜ kommunaalmaksed (KÜ Roela Mets)" u="1"/>
        <s v="Naistantsurühm &quot;Sõbratarid&quot; S. Vahula" u="1"/>
        <s v="Laekvere kooli kokk" u="1"/>
        <s v="Lasteaiaõpetaja" u="1"/>
        <s v="Elektrijuhtmete ja harukarpide seinale paigaldamine" u="1"/>
        <s v="Rauno kulud" u="1"/>
        <s v="Virumaa veepumbakeskus tehnoseadmete hooldus + muud tehnoseadmete tööd" u="1"/>
        <s v="Vinni-Pajusti Gümnaasiumi ringid (maksudega)" u="1"/>
        <s v="Murutraktor" u="1"/>
        <s v="Tudu sauna ehitus kooli" u="1"/>
        <s v="Päästering" u="1"/>
        <s v="Tulekustutite kontroll/hooldusteenus" u="1"/>
        <s v="Laekvere Rahvamaja, energiatõhusustööd" u="1"/>
        <s v="Projekt puuetega inimestele" u="1"/>
        <s v="Venevere seltsimaja fassaadi värvimistööd" u="1"/>
        <s v="MTÜ Õendus-hoolduskeskus Loojang" u="1"/>
        <s v="2020.a võetud laenude intresside tagasimaksed" u="1"/>
        <s v="Töötajate töötasu. Pikkapäevarühma lisatasu 0,15 kohta" u="1"/>
        <s v="Kokk Lasteaia ülesannetes" u="1"/>
        <s v="Telefonid ja internet " u="1"/>
        <s v="Hooldatavatele soetatavad ravimid, hooldusvahendid, ravimid" u="1"/>
        <s v="Laekvere PM ruumide rent" u="1"/>
        <s v="Kohatasud lasteaias" u="1"/>
        <s v="Argo kokandus" u="1"/>
        <s v="Täiendav toetus õpilaste testimiseks" u="1"/>
        <s v="Riigipühaga seotud lisatasu" u="1"/>
        <s v="Valimiskomisjoni liikmed (8 komisjoni kokku 42 inimest)" u="1"/>
        <s v="Lasteaia õppevahendid" u="1"/>
        <s v="Printeritahm" u="1"/>
        <s v="Koolitarbed" u="1"/>
        <s v="Ajakirjade tellimus 2021" u="1"/>
        <s v="Porkuni kooli arendusrühm (lisanduvad lapsed alates sept.)" u="1"/>
        <s v="Invetar" u="1"/>
        <s v="Ürituste plaan" u="1"/>
        <s v="Sidekulud" u="1"/>
        <s v="Valverühma ja õppepuhkusega seotud maksukulu" u="1"/>
        <s v="2021.a võetud laenude intresside tagasimaksed" u="1"/>
        <s v="Desifitseerimisained ja vahendid" u="1"/>
        <s v="Majandusjuhataja asendaja" u="1"/>
        <s v="Porkuni kooli arendusrühm (2 last x 12 kuud)" u="1"/>
        <s v="ÜVK arendamise kava investeeringute kaasrahastamine lisarahastus" u="1"/>
        <s v="Meesansambel R.Alavere" u="1"/>
        <s v="Printerile tahmakassetid" u="1"/>
        <s v="Roela kool ringid (maksudega)" u="1"/>
        <s v="Eri- ja vormiriietus (va kaitseotstarbelised kulud). Tööriiete ost (rem.töömees, koristajad, majahoidja, köögi personal)" u="1"/>
        <s v="Telefon" u="1"/>
        <s v="Fekaalivedu" u="1"/>
        <s v="Üritused (tähtpäevade tähistamine)" u="1"/>
        <s v="Arhiivi hävitamisteenus" u="1"/>
        <s v="Haridus 2021 teavitusteenus" u="1"/>
        <s v="Vastavalt ürituste plaanile" u="1"/>
        <s v="Bürootarbed jms" u="1"/>
        <s v="Administreerimiskulud (bürootarbed, printeri tahm/tint)" u="1"/>
        <s v="24.02 vastuvõtt" u="1"/>
        <s v="Toiduained lasteaed/kool" u="1"/>
        <s v="Küte ja soojusenergia (Adven) Muuga kool" u="1"/>
        <s v="ATV bensiin suusaradade hoolduseks ja korrashoid" u="1"/>
        <s v="Vaimse tervise toetamine läbi ennetustege­?vuste minu kogukonnas ja Lääne-Virumaal&quot; toetus Vinni P­?äevakeskuse projektile" u="1"/>
      </sharedItems>
    </cacheField>
    <cacheField name="Summa" numFmtId="0">
      <sharedItems containsString="0" containsBlank="1" containsNumber="1" minValue="1.1000000000000001" maxValue="1400000"/>
    </cacheField>
    <cacheField name="Eelarvekonto" numFmtId="0">
      <sharedItems containsSemiMixedTypes="0" containsString="0" containsNumber="1" containsInteger="1" minValue="500" maxValue="5513081" count="54">
        <n v="1502"/>
        <n v="1551"/>
        <n v="4500"/>
        <n v="5002"/>
        <n v="506"/>
        <n v="551100"/>
        <n v="551101"/>
        <n v="551102"/>
        <n v="5511"/>
        <n v="5500"/>
        <n v="5514"/>
        <n v="551300"/>
        <n v="551307"/>
        <n v="551308"/>
        <n v="5513081"/>
        <n v="5524"/>
        <n v="5521"/>
        <n v="5005"/>
        <n v="601"/>
        <n v="4528"/>
        <n v="5000"/>
        <n v="5001"/>
        <n v="5512"/>
        <n v="5526"/>
        <n v="4130"/>
        <n v="5525"/>
        <n v="413100"/>
        <n v="4133"/>
        <n v="5540"/>
        <n v="5515"/>
        <n v="5513"/>
        <n v="5504"/>
        <n v="4138"/>
        <n v="4137"/>
        <n v="41334"/>
        <n v="5008"/>
        <n v="4132"/>
        <n v="208120"/>
        <n v="6501"/>
        <n v="5502"/>
        <n v="5503"/>
        <n v="5522"/>
        <n v="551107"/>
        <n v="608"/>
        <n v="4134"/>
        <n v="4502"/>
        <n v="450200"/>
        <n v="5532"/>
        <n v="5523"/>
        <n v="500"/>
        <n v="1556" u="1"/>
        <n v="1554" u="1"/>
        <n v="25852" u="1"/>
        <n v="1501" u="1"/>
      </sharedItems>
    </cacheField>
    <cacheField name="Eelarve konto 2 kohaline" numFmtId="0">
      <sharedItems count="9">
        <s v="15"/>
        <s v="45"/>
        <s v="50"/>
        <s v="55"/>
        <s v="60"/>
        <s v="41"/>
        <s v="20"/>
        <s v="65"/>
        <s v="25" u="1"/>
      </sharedItems>
    </cacheField>
    <cacheField name="Konto nimetus" numFmtId="0">
      <sharedItems/>
    </cacheField>
    <cacheField name="Eelarveosa" numFmtId="0">
      <sharedItems/>
    </cacheField>
    <cacheField name="Tulu/kulu liigi grupp" numFmtId="0">
      <sharedItems count="3">
        <s v="Investeerimistegevuse kulud"/>
        <s v="Põhitegevuse kulud"/>
        <s v="Finantseerimistegevus"/>
      </sharedItems>
    </cacheField>
    <cacheField name="Projekt" numFmtId="0">
      <sharedItems containsBlank="1"/>
    </cacheField>
    <cacheField name="Column3" numFmtId="0">
      <sharedItems containsBlank="1"/>
    </cacheField>
    <cacheField name="Osakond" numFmtId="0">
      <sharedItems/>
    </cacheField>
    <cacheField name="Eelarve eest vastutav" numFmtId="0">
      <sharedItems/>
    </cacheField>
    <cacheField name="Tegevusala kood" numFmtId="0">
      <sharedItems containsBlank="1" count="107">
        <s v="06300"/>
        <s v="0911006"/>
        <s v="0810908"/>
        <s v="0660511"/>
        <s v="03200"/>
        <s v="0820101"/>
        <s v="0820102"/>
        <s v="0921205"/>
        <s v="0911001"/>
        <s v="0820301"/>
        <s v="0810704"/>
        <s v="0820106"/>
        <s v="0660508"/>
        <s v="095101"/>
        <s v="1020101"/>
        <s v="0921209"/>
        <s v="10110"/>
        <s v="01112"/>
        <s v="0810208"/>
        <s v="09510"/>
        <s v="0660507"/>
        <s v="06400"/>
        <s v="1020003"/>
        <s v="1040205"/>
        <s v="1040207"/>
        <s v="1040208"/>
        <s v="10701"/>
        <s v="0820104"/>
        <s v="0820105"/>
        <s v="1040203"/>
        <s v="1012106"/>
        <s v="1012104"/>
        <s v="0820202"/>
        <s v="095104"/>
        <s v="0921203"/>
        <s v="0980004"/>
        <s v="0911003"/>
        <s v="0911002"/>
        <s v="0660501"/>
        <s v="10900"/>
        <s v="0921208"/>
        <s v="0820103"/>
        <s v="0660510"/>
        <s v="1020001"/>
        <s v="0921204"/>
        <s v="0820207"/>
        <s v="0810703"/>
        <s v="0810706"/>
        <s v="0810904"/>
        <s v="08300"/>
        <s v="0810209"/>
        <s v="0810705"/>
        <s v="0810903"/>
        <s v="095102"/>
        <s v="095103"/>
        <s v="0911004"/>
        <s v="0911007"/>
        <s v="1040204"/>
        <s v="1020103"/>
        <s v="1020102"/>
        <s v="101212"/>
        <s v="1012105"/>
        <s v="1012103"/>
        <s v="1012102"/>
        <s v="1012101"/>
        <s v="10120"/>
        <s v="0810907"/>
        <s v="1020004"/>
        <s v="0810201"/>
        <s v="0911005"/>
        <s v="0980002"/>
        <s v="0451002"/>
        <s v="0451001"/>
        <s v="10702"/>
        <s v="10500"/>
        <s v="1040202"/>
        <s v="05100"/>
        <s v="01700"/>
        <s v="02500"/>
        <s v="0820203"/>
        <s v="1020002"/>
        <s v="0820206"/>
        <s v="0980003"/>
        <s v="10600"/>
        <s v="0660509"/>
        <s v="0810905"/>
        <s v="01114"/>
        <s v="09600"/>
        <s v="0820205"/>
        <s v="05600"/>
        <s v="04900"/>
        <s v="07600"/>
        <s v="08600"/>
        <s v="1040002"/>
        <s v="0810202"/>
        <s v="0960201"/>
        <s v="04600"/>
        <s v="01111"/>
        <s v="01800"/>
        <s v="10700"/>
        <s v="0921206"/>
        <s v="0911008"/>
        <s v="1040001"/>
        <s v="0921301"/>
        <s v="0810203"/>
        <s v="0810205"/>
        <m u="1"/>
      </sharedItems>
    </cacheField>
    <cacheField name="Tegevusala kood 2 kohaline" numFmtId="0">
      <sharedItems count="11">
        <s v="06"/>
        <s v="09"/>
        <s v="08"/>
        <s v="03"/>
        <s v="10"/>
        <s v="01"/>
        <s v="04"/>
        <s v="05"/>
        <s v="02"/>
        <s v="07"/>
        <s v="" u="1"/>
      </sharedItems>
    </cacheField>
    <cacheField name="Tegevusala nimetus2" numFmtId="0">
      <sharedItems count="194">
        <s v="Veevarustus"/>
        <s v="Laekvere Lasteaed"/>
        <s v="Kultuuri projektide kaasfinantseerimised"/>
        <s v="Ulvi, Vinni-Pajusti teeninduspiirkond"/>
        <s v="Päästeteenused"/>
        <s v="Vinni-Pajusti Raamatukogu"/>
        <s v="Viru-Jaagupi Raamatukogu"/>
        <s v="Vinni-Pajusti Gümnaasium"/>
        <s v="Vinni Lasteaed"/>
        <s v="Vinni Vallamuuseum"/>
        <s v="Lastelaagrid"/>
        <s v="Laekvere Raamatukogu"/>
        <s v="Kalmistud"/>
        <s v="Huviringide personalikulud ja õppevahendid"/>
        <s v="Hooldajad"/>
        <s v="HEV kohatasud/õpilaskodu"/>
        <s v="Haigete sotsiaalne kaitse"/>
        <s v="Valla- ja linnavalitsus"/>
        <s v="Spordiseltside- ja klubide toetused MTÜ"/>
        <s v="Noorte huviharidus ja huvitegevus"/>
        <s v="Saunad"/>
        <s v="Tänavavalgustus"/>
        <s v="Muud asutused"/>
        <s v="Sünnitoetused"/>
        <s v="Tugiisikud (perekondade ja laste)"/>
        <s v="Muud toetused"/>
        <s v="Riiklik toimetulekutoetus"/>
        <s v="Tudu Raamatukogu"/>
        <s v="Ulvi Raamatukogu"/>
        <s v="Ühekordsed toetused"/>
        <s v="Tugiisikud puuetega inimestele"/>
        <s v="Muud"/>
        <s v="Pajusti klubi"/>
        <s v="Ujumistreeningud"/>
        <s v="Roela kool"/>
        <s v="Halduse tagatavad kulud"/>
        <s v="Kulina Lasteaed"/>
        <s v="Pajusti Lasteaed Pajustis"/>
        <s v="Laekvere teeninduspiirkond"/>
        <s v="Muu sotsiaalne kaitse, sh sotsiaalse kaitse haldus"/>
        <s v="Laekvere Kool"/>
        <s v="Roela Raamatukogu"/>
        <s v="Roela, Tudu, Viru-Jaagupi teeninduspiirkond"/>
        <s v="Tammiku Kodu"/>
        <s v="Tudu kool"/>
        <s v="Ulvi Klubi"/>
        <s v="Projektide kaasfinantseerimine"/>
        <s v="Noorsootöö koordineerimine"/>
        <s v="Toetused MTÜ-le"/>
        <s v="Ringhäälingu- ja kirjastamisteenused"/>
        <s v="Sporditegevuse haldus"/>
        <s v="Vinni Valla Noored MTÜ"/>
        <s v="Valla üritused"/>
        <s v="Muusikakoolide kohatasud"/>
        <s v="Huvihariduse/ -tegevuse kompensatsioonid"/>
        <s v="Tudu Lasteaed"/>
        <s v="Roela Lasteaed"/>
        <s v="Ravitoetused perekondadele, lastele"/>
        <s v="Juubeli toetused"/>
        <s v="Eakate toetused"/>
        <s v="Hooldajatoetused"/>
        <s v="Erivajadustega inimeste tugiteenus"/>
        <s v="Puuetega inimeste transport"/>
        <s v="Ravitoetused puuetega inimestele"/>
        <s v="Puuetega inimeste sotsiaalhoolekandeasutused"/>
        <s v="Vilde kirjanduspreemia"/>
        <s v="Vinni päevakeskus"/>
        <s v="Vinni Spordikompleks"/>
        <s v="Pajusti Lasteaed Ulvis"/>
        <s v="Üritused"/>
        <s v="Teede remont"/>
        <s v="Lumetõrje"/>
        <s v="Muu sotsiaalsete riskirühmade kaitse"/>
        <s v="Töötute sotsiaalne kaitse"/>
        <s v="Matusetoetus"/>
        <s v="Jäätmekäitlus"/>
        <s v="Valitsussektori võla teenindamine"/>
        <s v="Muu riigikaitse"/>
        <s v="Roela Rahvamaja"/>
        <s v="Ulvi Kodu"/>
        <s v="Venevere Seltsimaja"/>
        <s v="Haldus"/>
        <s v="Eluasemeteenused sotsiaalsetele riskirühmadele"/>
        <s v="Hulkuvad loomad"/>
        <s v="Kergliiklusteed"/>
        <s v="Kohaliku omavalitsuse üksuse reservfond"/>
        <s v="Koolitransport"/>
        <s v="Laekvere Rahvamaja"/>
        <s v="Muu keskkonnakaitse (sh keskkonnakaitse haldus)"/>
        <s v="Muu majandus (sh majanduse haldus)"/>
        <s v="Muu tervishoid, sh tervishoiu haldamine"/>
        <s v="Muu vaba aeg, kultuur, religioon, sh haldus"/>
        <s v="Muuga Spordihoone"/>
        <s v="Roela Õpilaskodu"/>
        <s v="Side"/>
        <s v="Valla- ja linnavolikogu"/>
        <s v="Üldiseloomuga ülekanded valitsussektoris"/>
        <s v="Riskirühmade sotsiaalhoolekandeasutused"/>
        <s v="Kohatasud"/>
        <s v="Vinni Perekodu"/>
        <s v="Vinni-Pajusti Gümnaasium - gümnaasiumi osa"/>
        <s v="Staadion"/>
        <s v=" Staadion" u="1"/>
        <s v=" Muu sotsiaalne kaitse, sh sotsiaalse kaitse haldus" u="1"/>
        <s v=" Valla- ja linnavalitsus" u="1"/>
        <s v=" Kohatasud" u="1"/>
        <s v=" Tugiisikud puuetega inimestele" u="1"/>
        <s v=" Tudu Lasteaed" u="1"/>
        <s v=" Jäätmekäitlus" u="1"/>
        <s v=" Muud toetused" u="1"/>
        <s v="Vinni-Pajusti Rahvaraamatukogu" u="1"/>
        <s v=" Tammiku Kodu" u="1"/>
        <s v=" Vinni-Pajusti Gümnaasium" u="1"/>
        <s v=" Valitsussektori võla teenindamine" u="1"/>
        <s v=" Muud" u="1"/>
        <s v="Põhikooli kohatasud" u="1"/>
        <s v=" Haldus" u="1"/>
        <s v=" Koolitransport" u="1"/>
        <s v="Ulvi Lasteaed" u="1"/>
        <s v="Transport" u="1"/>
        <s v=" Roela Õpilaskodu" u="1"/>
        <s v=" Ühekordsed toetused" u="1"/>
        <s v=" Muud asutused" u="1"/>
        <s v="Roela Rahvaraamatukogu" u="1"/>
        <s v="Muuga-Laekvere Kool" u="1"/>
        <s v="Laekvere halduspiirkond" u="1"/>
        <s v=" Projektide kaasfinantseerimine" u="1"/>
        <s v="Tudu Rahvaraamatukogu" u="1"/>
        <s v=" Üldiseloomuga ülekanded valitsussektoris" u="1"/>
        <s v=" Puuetega inimeste sotsiaalhoolekandeasutused" u="1"/>
        <s v=" Vinni Perekodu" u="1"/>
        <s v=" Hooldajad" u="1"/>
        <s v=" Eakate toetused" u="1"/>
        <s v=" Vinni päevakeskus" u="1"/>
        <s v=" Roela Rahvamaja" u="1"/>
        <s v=" Töötute sotsiaalne kaitse" u="1"/>
        <s v="Muuga-Laekvere Kool (al 2020)" u="1"/>
        <s v=" Spordiseltside- ja klubide toetused MTÜ" u="1"/>
        <s v=" Ulvi Kodu" u="1"/>
        <s v=" Muu tervishoid, sh tervishoiu haldamine" u="1"/>
        <s v=" Kadila Seltsimaja" u="1"/>
        <s v=" Hulkuvad loomad" u="1"/>
        <s v=" Vinni Spordikompleks" u="1"/>
        <s v=" Tugiisikud (perekondade ja laste)" u="1"/>
        <s v=" Lastelaagrid" u="1"/>
        <s v=" Toetused MTÜ-le" u="1"/>
        <s v=" Side" u="1"/>
        <s v=" Roela Lasteaed" u="1"/>
        <s v=" Valla- ja linnavolikogu" u="1"/>
        <s v=" Pajusti klubi" u="1"/>
        <s v=" Juubeli toetused" u="1"/>
        <s v=" Laekvere Lasteaed" u="1"/>
        <s v=" Valla üritused" u="1"/>
        <s v="Muud üldised valitsussektori teenused" u="1"/>
        <s v=" Vinni Lasteaed" u="1"/>
        <s v=" Roela kool" u="1"/>
        <e v="#N/A" u="1"/>
        <s v="Pajusti Lasteaed" u="1"/>
        <s v=" Pajusti Lasteaed Pajustis" u="1"/>
        <s v=" Riiklik toimetulekutoetus" u="1"/>
        <s v=" Lumetõrje" u="1"/>
        <s v=" Muu majandus (sh majanduse haldus)" u="1"/>
        <s v=" Hooldajatoetused" u="1"/>
        <s v=" Muu riigikaitse" u="1"/>
        <s v=" Kulina Lasteaed" u="1"/>
        <s v=" Muuga Spordihoone" u="1"/>
        <s v=" Ravitoetused puuetega inimestele" u="1"/>
        <s v=" Kalmistud" u="1"/>
        <s v="Viru-Jaagupi Rahvaraamatukogu" u="1"/>
        <s v="Kadila Seltsimaja" u="1"/>
        <s v=" Saunad" u="1"/>
        <s v="Gümnaasiumi kohatasud" u="1"/>
        <s v=" Vinni Valla Noored MTÜ" u="1"/>
        <s v=" Kohaliku omavalitsuse üksuse reservfond" u="1"/>
        <s v=" Teede remont" u="1"/>
        <s v=" Kergliiklusteed" u="1"/>
        <s v=" Haigete sotsiaalne kaitse" u="1"/>
        <s v=" Erivajadustega inimeste tugiteenus" u="1"/>
        <s v=" Muud üldised valitsussektori teenused" u="1"/>
        <s v="Vinni pajusti Gümnaasium - gümnaasiumi osa" u="1"/>
        <s v=" Muu sotsiaalsete riskirühmade kaitse" u="1"/>
        <s v=" Tudu kool" u="1"/>
        <s v=" Matusetoetus" u="1"/>
        <s v=" Päästeteenused" u="1"/>
        <s v=" Noorte huviharidus ja huvitegevus" u="1"/>
        <s v=" Halduse tagatavad kulud" u="1"/>
        <s v=" Muu vaba aeg, kultuur, religioon, sh haldus" u="1"/>
        <s v=" Sünnitoetused" u="1"/>
        <s v="Spordiüritused" u="1"/>
        <s v=" Vilde kirjanduspreemia" u="1"/>
        <s v=" Ravitoetused perekondadele, lastele" u="1"/>
        <s v=" Ringhäälingu- ja kirjastamisteenused" u="1"/>
        <s v=" Eluasemeteenused sotsiaalsetele riskirühmadele" u="1"/>
        <s v=" Üritused" u="1"/>
      </sharedItems>
    </cacheField>
    <cacheField name="Objekt" numFmtId="0">
      <sharedItems containsBlank="1"/>
    </cacheField>
    <cacheField name="Column6" numFmtId="0">
      <sharedItems containsBlank="1"/>
    </cacheField>
    <cacheField name="Kontode alanimetus" numFmtId="0">
      <sharedItems containsMixedTypes="1" containsNumber="1" containsInteger="1" minValue="0" maxValue="0" count="12">
        <s v="Osaluste soetus (-)"/>
        <s v="Põhivara soetus (-)"/>
        <s v="Sihtotstarbelised toetused tegevuskuludeks"/>
        <s v="Tööjõukulud"/>
        <s v="Majandamiskulud"/>
        <s v="Muud kulud"/>
        <s v="Mittesihtotstarbelised toetused"/>
        <s v="Sotsiaalabitoetused ja muud toetused füüsilistele isikutele"/>
        <s v="Kohustuste tasumine (-)"/>
        <s v="Finantskulud (-)"/>
        <s v="Põhivara soetuseks antav sihtfinantseerimine (-)"/>
        <n v="0" u="1"/>
      </sharedItems>
    </cacheField>
    <cacheField name="Tegevus alanimetus" numFmtId="0">
      <sharedItems count="46">
        <s v="Veevarustus"/>
        <s v="Alusharidus"/>
        <s v="Vaba aja üritused"/>
        <s v="Muu elamu- ja kommunaalmajanduse tegevus"/>
        <s v="Päästeteenused"/>
        <s v="Raamatukogud"/>
        <s v="Põhihariduse otsekulud"/>
        <s v="Muuseumid"/>
        <s v="Noorsootöö ja noortekeskused"/>
        <s v="Noorte huviharidus ja huvitegevus"/>
        <s v="Muu eakate sotsiaalne kaitse"/>
        <s v="Haigete sotsiaalne kaitse"/>
        <s v="Valla- ja linnavalitsus"/>
        <s v="Sport"/>
        <s v="Tänavavalgustus"/>
        <s v="Eakate sotsiaalhoolekande asutused"/>
        <s v="Muu perekondade ja laste sotsiaalne kaitse"/>
        <s v="Riiklik toimetulekutoetus"/>
        <s v="Muu puuetega inimeste sotsiaalne kaitse"/>
        <s v="Rahvakultuur"/>
        <s v="Muu haridus, sh hariduse haldus"/>
        <s v="Muu sotsiaalne kaitse, sh sotsiaalse kaitse haldus"/>
        <s v="Ringhäälingu- ja kirjastamisteenused"/>
        <s v="Puuetega inimeste sotsiaalhoolekandeasutused"/>
        <s v="Maanteetransport"/>
        <s v="Muu sotsiaalsete riskirühmade kaitse"/>
        <s v="Töötute sotsiaalne kaitse"/>
        <s v="Jäätmekäitlus"/>
        <s v="Valitsussektori võla teenindamine"/>
        <s v="Muu riigikaitse"/>
        <s v="Eluasemeteenused sotsiaalsetele riskirühmadele"/>
        <s v="Kohaliku omavalitsuse üksuse reservfond"/>
        <s v="Koolitransport"/>
        <s v="Muu keskkonnakaitse (sh keskkonnakaitse haldus)"/>
        <s v="Muu majandus (sh majanduse haldus)"/>
        <s v="Muu tervishoid, sh tervishoiu haldamine"/>
        <s v="Muu vaba aeg, kultuur, religioon, sh haldus"/>
        <s v="Laste ja noorte sotsiaalhoolekande asutused"/>
        <s v="Öömaja"/>
        <s v="Side"/>
        <s v="Valla- ja linnavolikogu"/>
        <s v="Üldiseloomuga ülekanded valitsussektoris"/>
        <s v="Riskirühmade sotsiaalhoolekandeasutused"/>
        <s v="Üldkeskhariduse otsekulud"/>
        <s v="Muud üldised valitsussektori teenused" u="1"/>
        <e v="#N/A" u="1"/>
      </sharedItems>
    </cacheField>
    <cacheField name="I Muudatus" numFmtId="0">
      <sharedItems containsNonDate="0" containsString="0" containsBlank="1"/>
    </cacheField>
    <cacheField name="II Muudatus" numFmtId="0">
      <sharedItems containsNonDate="0" containsString="0" containsBlank="1"/>
    </cacheField>
    <cacheField name="Eelarve peale muudatusi" numFmtId="0">
      <sharedItems containsSemiMixedTypes="0" containsString="0" containsNumber="1" minValue="0" maxValue="14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
  <r>
    <s v="COVID19 lisainvesteeringute toetus 2021.a"/>
    <n v="182000"/>
    <n v="3502"/>
    <s v="Saadud sihtfinantseerimine põhivara soetuseks"/>
    <s v="3"/>
    <x v="0"/>
    <s v=""/>
    <s v=""/>
    <s v="215"/>
    <s v="Ehitusnõunik"/>
    <s v="0810905"/>
    <s v="Kergliiklusteed"/>
    <s v=""/>
    <s v=""/>
    <x v="0"/>
    <s v="Vaba aja üritused"/>
    <m/>
    <m/>
    <n v="182000"/>
  </r>
  <r>
    <s v="Ulvi Kodu, energiatõhusustööd (küttesüsteem, ventilatsioon, avatäited, soojustamine)"/>
    <m/>
    <n v="3502"/>
    <s v="Saadud sihtfinantseerimine põhivara soetuseks"/>
    <s v="3"/>
    <x v="0"/>
    <s v=""/>
    <s v=""/>
    <s v="215"/>
    <s v="Ehitusnõunik"/>
    <s v="1020002"/>
    <s v="Ulvi Kodu"/>
    <s v=""/>
    <s v=""/>
    <x v="0"/>
    <s v="Eakate sotsiaalhoolekande asutused"/>
    <m/>
    <m/>
    <n v="0"/>
  </r>
  <r>
    <s v="Hajaasustuseprogramm (saadav toetus)"/>
    <n v="60600"/>
    <n v="3502"/>
    <s v="Saadud sihtfinantseerimine põhivara soetuseks"/>
    <s v="3"/>
    <x v="0"/>
    <s v=""/>
    <s v=""/>
    <s v="22"/>
    <s v="Majandusteenistus"/>
    <s v="04900"/>
    <s v="Muu majandus (sh majanduse haldus)"/>
    <s v=""/>
    <s v=""/>
    <x v="0"/>
    <s v="Muu majandus (sh majanduse haldus)"/>
    <m/>
    <m/>
    <n v="60600"/>
  </r>
  <r>
    <s v="Saadud sihtfinantseerimine põhivara soetuseks - Tänavavalgustus"/>
    <n v="0"/>
    <n v="3502"/>
    <s v="Saadud sihtfinantseerimine põhivara soetuseks"/>
    <s v="3"/>
    <x v="0"/>
    <s v=""/>
    <s v=""/>
    <s v="22"/>
    <s v="Majandusteenistus"/>
    <s v="06400"/>
    <s v="Tänavavalgustus"/>
    <s v=""/>
    <s v=""/>
    <x v="0"/>
    <s v="Tänavavalgustus"/>
    <m/>
    <m/>
    <n v="0"/>
  </r>
  <r>
    <s v="ÜÜR JA RENT"/>
    <n v="60000"/>
    <n v="3233"/>
    <s v="ÜÜR JA RENT"/>
    <s v="1"/>
    <x v="1"/>
    <s v=""/>
    <s v=""/>
    <s v="2"/>
    <s v="Valla- ja linnavalitsus"/>
    <s v="01112"/>
    <s v="Valla- ja linnavalitsus"/>
    <s v="11"/>
    <s v="Omatulude eelarve"/>
    <x v="1"/>
    <s v="Valla- ja linnavalitsus"/>
    <m/>
    <m/>
    <n v="60000"/>
  </r>
  <r>
    <s v="TULUD KORRAKAITSEST"/>
    <n v="5190"/>
    <n v="3227"/>
    <s v="TULUD KORRAKAITSEST"/>
    <s v="1"/>
    <x v="1"/>
    <s v=""/>
    <s v=""/>
    <s v="2"/>
    <s v="Valla- ja linnavalitsus"/>
    <s v="01112"/>
    <s v="Valla- ja linnavalitsus"/>
    <s v="11"/>
    <s v="Omatulude eelarve"/>
    <x v="1"/>
    <s v="Valla- ja linnavalitsus"/>
    <m/>
    <m/>
    <n v="5190"/>
  </r>
  <r>
    <s v="Kommunaalmaksed"/>
    <n v="3100"/>
    <n v="3225"/>
    <s v="ELAMU- JA KOMMUNAALTEGEVUSE TULUD"/>
    <s v="1"/>
    <x v="1"/>
    <s v=""/>
    <s v=""/>
    <s v="2"/>
    <s v="Valla- ja linnavalitsus"/>
    <s v="01112"/>
    <s v="Valla- ja linnavalitsus"/>
    <s v="11"/>
    <s v="Omatulude eelarve"/>
    <x v="1"/>
    <s v="Valla- ja linnavalitsus"/>
    <m/>
    <m/>
    <n v="3100"/>
  </r>
  <r>
    <s v="Koduteenused"/>
    <n v="5900"/>
    <n v="3224"/>
    <s v="TULUD SOTSIAALABIALASEST TEGEVUSEST"/>
    <s v="1"/>
    <x v="1"/>
    <s v="1012107"/>
    <s v="Koduteenused"/>
    <s v="2"/>
    <s v="Valla- ja linnavalitsus"/>
    <s v="01112"/>
    <s v="Valla- ja linnavalitsus"/>
    <s v="11"/>
    <s v="Omatulude eelarve"/>
    <x v="1"/>
    <s v="Valla- ja linnavalitsus"/>
    <m/>
    <m/>
    <n v="5900"/>
  </r>
  <r>
    <s v="Roela Õpilaskodu toetus"/>
    <n v="30000"/>
    <n v="3500"/>
    <s v="SAADUD TEGEVUSTOETUSED"/>
    <s v="1"/>
    <x v="1"/>
    <s v="0960201"/>
    <s v="Roela Õpilaskodu"/>
    <s v="2"/>
    <s v="Valla- ja linnavalitsus"/>
    <s v="01112"/>
    <s v="Valla- ja linnavalitsus"/>
    <s v="11"/>
    <s v="Omatulude eelarve"/>
    <x v="2"/>
    <s v="Valla- ja linnavalitsus"/>
    <m/>
    <m/>
    <n v="30000"/>
  </r>
  <r>
    <s v="Füüsilise isiku tulumaks"/>
    <n v="5288424.9875999996"/>
    <n v="3000"/>
    <s v="Füüsilise isiku tulumaks "/>
    <s v="1"/>
    <x v="1"/>
    <s v=""/>
    <s v=""/>
    <s v="2"/>
    <s v="Valla- ja linnavalitsus"/>
    <s v="01112"/>
    <s v="Valla- ja linnavalitsus"/>
    <s v="11"/>
    <s v="Omatulude eelarve"/>
    <x v="3"/>
    <s v="Valla- ja linnavalitsus"/>
    <m/>
    <m/>
    <n v="5288424.9875999996"/>
  </r>
  <r>
    <s v="Tasu vee erikasutusest"/>
    <n v="14900"/>
    <n v="382540"/>
    <s v="Tasu vee erikasutusest"/>
    <s v="1"/>
    <x v="1"/>
    <s v=""/>
    <s v=""/>
    <s v="2"/>
    <s v="Valla- ja linnavalitsus"/>
    <s v="01112"/>
    <s v="Valla- ja linnavalitsus"/>
    <s v="11"/>
    <s v="Omatulude eelarve"/>
    <x v="4"/>
    <s v="Valla- ja linnavalitsus"/>
    <m/>
    <m/>
    <n v="14900"/>
  </r>
  <r>
    <s v="Kohaliku tähtsusega maardlate kaevandamisõiguse tasu"/>
    <n v="17100"/>
    <n v="382510"/>
    <s v="Kohaliku tähtsusega maardlate kaevandamisõiguse tasu"/>
    <s v="1"/>
    <x v="1"/>
    <s v=""/>
    <s v=""/>
    <s v="2"/>
    <s v="Valla- ja linnavalitsus"/>
    <s v="01112"/>
    <s v="Valla- ja linnavalitsus"/>
    <s v="11"/>
    <s v="Omatulude eelarve"/>
    <x v="5"/>
    <s v="Valla- ja linnavalitsus"/>
    <m/>
    <m/>
    <n v="17100"/>
  </r>
  <r>
    <s v="Laekvere Lasteaed"/>
    <n v="3800"/>
    <n v="322040"/>
    <s v="Tasu toitlustamiskuludeks"/>
    <s v="1"/>
    <x v="1"/>
    <s v="0911006"/>
    <s v="Laekvere Lasteaed"/>
    <s v="2"/>
    <s v="Valla- ja linnavalitsus"/>
    <s v="01112"/>
    <s v="Valla- ja linnavalitsus"/>
    <s v="11"/>
    <s v="Omatulude eelarve"/>
    <x v="1"/>
    <s v="Valla- ja linnavalitsus"/>
    <m/>
    <m/>
    <n v="3800"/>
  </r>
  <r>
    <s v="Pajusti Lasteaed"/>
    <n v="4500"/>
    <n v="322040"/>
    <s v="Tasu toitlustamiskuludeks"/>
    <s v="1"/>
    <x v="1"/>
    <s v="0911002"/>
    <s v="Pajusti Lasteaed"/>
    <s v="2"/>
    <s v="Valla- ja linnavalitsus"/>
    <s v="01112"/>
    <s v="Valla- ja linnavalitsus"/>
    <s v="11"/>
    <s v="Omatulude eelarve"/>
    <x v="1"/>
    <s v="Valla- ja linnavalitsus"/>
    <m/>
    <m/>
    <n v="4500"/>
  </r>
  <r>
    <s v="Roela Lasteaed"/>
    <n v="3000"/>
    <n v="322020"/>
    <s v="Koolieelsete lasteasutuste kohatasu"/>
    <s v="1"/>
    <x v="1"/>
    <s v="0911007"/>
    <s v="Roela Lasteaed"/>
    <s v="2"/>
    <s v="Valla- ja linnavalitsus"/>
    <s v="01112"/>
    <s v="Valla- ja linnavalitsus"/>
    <s v="11"/>
    <s v="Omatulude eelarve"/>
    <x v="1"/>
    <s v="Valla- ja linnavalitsus"/>
    <m/>
    <m/>
    <n v="3000"/>
  </r>
  <r>
    <s v="Saunateenuste tulu"/>
    <n v="2400"/>
    <n v="3232"/>
    <s v="TULUD MUUDELT MAJANDUSALADELT"/>
    <s v="1"/>
    <x v="1"/>
    <s v="0660507"/>
    <s v="Saunad"/>
    <s v="2"/>
    <s v="Valla- ja linnavalitsus"/>
    <s v="01112"/>
    <s v="Valla- ja linnavalitsus"/>
    <s v="11"/>
    <s v="Omatulude eelarve"/>
    <x v="1"/>
    <s v="Valla- ja linnavalitsus"/>
    <m/>
    <m/>
    <n v="2400"/>
  </r>
  <r>
    <s v="Roela Lasteaed"/>
    <n v="2900"/>
    <n v="322040"/>
    <s v="Tasu toitlustamiskuludeks"/>
    <s v="1"/>
    <x v="1"/>
    <s v="0911007"/>
    <s v="Roela Lasteaed"/>
    <s v="2"/>
    <s v="Valla- ja linnavalitsus"/>
    <s v="01112"/>
    <s v="Valla- ja linnavalitsus"/>
    <s v="11"/>
    <s v="Omatulude eelarve"/>
    <x v="1"/>
    <s v="Valla- ja linnavalitsus"/>
    <m/>
    <m/>
    <n v="2900"/>
  </r>
  <r>
    <s v="Kulina Lasteaed"/>
    <n v="2800"/>
    <n v="322040"/>
    <s v="Tasu toitlustamiskuludeks"/>
    <s v="1"/>
    <x v="1"/>
    <s v="0911003"/>
    <s v="Kulina Lasteaed"/>
    <s v="2"/>
    <s v="Valla- ja linnavalitsus"/>
    <s v="01112"/>
    <s v="Valla- ja linnavalitsus"/>
    <s v="11"/>
    <s v="Omatulude eelarve"/>
    <x v="1"/>
    <s v="Valla- ja linnavalitsus"/>
    <m/>
    <m/>
    <n v="2800"/>
  </r>
  <r>
    <s v="Laekvere Lasteaed"/>
    <n v="5500"/>
    <n v="322020"/>
    <s v="Koolieelsete lasteasutuste kohatasu"/>
    <s v="1"/>
    <x v="1"/>
    <s v="0911006"/>
    <s v="Laekvere Lasteaed"/>
    <s v="2"/>
    <s v="Valla- ja linnavalitsus"/>
    <s v="01112"/>
    <s v="Valla- ja linnavalitsus"/>
    <s v="11"/>
    <s v="Omatulude eelarve"/>
    <x v="1"/>
    <s v="Valla- ja linnavalitsus"/>
    <m/>
    <m/>
    <n v="5500"/>
  </r>
  <r>
    <s v="Ulvi Lasteaed"/>
    <n v="4000"/>
    <n v="322020"/>
    <s v="Koolieelsete lasteasutuste kohatasu"/>
    <s v="1"/>
    <x v="1"/>
    <s v="0911005"/>
    <s v="Ulvi Lasteaed"/>
    <s v="2"/>
    <s v="Valla- ja linnavalitsus"/>
    <s v="01112"/>
    <s v="Valla- ja linnavalitsus"/>
    <s v="11"/>
    <s v="Omatulude eelarve"/>
    <x v="1"/>
    <s v="Valla- ja linnavalitsus"/>
    <m/>
    <m/>
    <n v="4000"/>
  </r>
  <r>
    <s v="Pajusti Lasteaed"/>
    <n v="6000"/>
    <n v="322020"/>
    <s v="Koolieelsete lasteasutuste kohatasu"/>
    <s v="1"/>
    <x v="1"/>
    <s v="0911002"/>
    <s v="Pajusti Lasteaed"/>
    <s v="2"/>
    <s v="Valla- ja linnavalitsus"/>
    <s v="01112"/>
    <s v="Valla- ja linnavalitsus"/>
    <s v="11"/>
    <s v="Omatulude eelarve"/>
    <x v="1"/>
    <s v="Valla- ja linnavalitsus"/>
    <m/>
    <m/>
    <n v="6000"/>
  </r>
  <r>
    <s v="Vinni Lasteaed"/>
    <n v="13500"/>
    <n v="322020"/>
    <s v="Koolieelsete lasteasutuste kohatasu"/>
    <s v="1"/>
    <x v="1"/>
    <s v="0911001"/>
    <s v="Vinni Lasteaed"/>
    <s v="2"/>
    <s v="Valla- ja linnavalitsus"/>
    <s v="01112"/>
    <s v="Valla- ja linnavalitsus"/>
    <s v="11"/>
    <s v="Omatulude eelarve"/>
    <x v="1"/>
    <s v="Valla- ja linnavalitsus"/>
    <m/>
    <m/>
    <n v="13500"/>
  </r>
  <r>
    <s v="Kulina Lasteaed"/>
    <n v="4000"/>
    <n v="322020"/>
    <s v="Koolieelsete lasteasutuste kohatasu"/>
    <s v="1"/>
    <x v="1"/>
    <s v="0911003"/>
    <s v="Kulina Lasteaed"/>
    <s v="2"/>
    <s v="Valla- ja linnavalitsus"/>
    <s v="01112"/>
    <s v="Valla- ja linnavalitsus"/>
    <s v="11"/>
    <s v="Omatulude eelarve"/>
    <x v="1"/>
    <s v="Valla- ja linnavalitsus"/>
    <m/>
    <m/>
    <n v="4000"/>
  </r>
  <r>
    <s v="Maamaks"/>
    <n v="490000"/>
    <n v="3030"/>
    <s v="Maamaks"/>
    <s v="1"/>
    <x v="1"/>
    <s v=""/>
    <s v=""/>
    <s v="2"/>
    <s v="Valla- ja linnavalitsus"/>
    <s v="01112"/>
    <s v="Valla- ja linnavalitsus"/>
    <s v="11"/>
    <s v="Omatulude eelarve"/>
    <x v="6"/>
    <s v="Valla- ja linnavalitsus"/>
    <m/>
    <m/>
    <n v="490000"/>
  </r>
  <r>
    <s v="RIIGILÕIVUD"/>
    <n v="6700"/>
    <n v="320"/>
    <s v="RIIGILÕIVUD"/>
    <s v="1"/>
    <x v="1"/>
    <s v=""/>
    <s v=""/>
    <s v="2"/>
    <s v="Valla- ja linnavalitsus"/>
    <s v="01112"/>
    <s v="Valla- ja linnavalitsus"/>
    <s v="11"/>
    <s v="Omatulude eelarve"/>
    <x v="1"/>
    <s v="Valla- ja linnavalitsus"/>
    <m/>
    <m/>
    <n v="6700"/>
  </r>
  <r>
    <s v="Ulvi Lasteaed"/>
    <n v="3600"/>
    <n v="322040"/>
    <s v="Tasu toitlustamiskuludeks"/>
    <s v="1"/>
    <x v="1"/>
    <s v="0911005"/>
    <s v="Ulvi Lasteaed"/>
    <s v="2"/>
    <s v="Valla- ja linnavalitsus"/>
    <s v="01112"/>
    <s v="Valla- ja linnavalitsus"/>
    <s v="11"/>
    <s v="Omatulude eelarve"/>
    <x v="1"/>
    <s v="Valla- ja linnavalitsus"/>
    <m/>
    <m/>
    <n v="3600"/>
  </r>
  <r>
    <s v="Tudu Lasteaed"/>
    <n v="1500"/>
    <n v="322040"/>
    <s v="Tasu toitlustamiskuludeks"/>
    <s v="1"/>
    <x v="1"/>
    <s v="0911004"/>
    <s v="Tudu Lasteaed"/>
    <s v="2"/>
    <s v="Valla- ja linnavalitsus"/>
    <s v="01112"/>
    <s v="Valla- ja linnavalitsus"/>
    <s v="11"/>
    <s v="Omatulude eelarve"/>
    <x v="1"/>
    <s v="Valla- ja linnavalitsus"/>
    <m/>
    <m/>
    <n v="1500"/>
  </r>
  <r>
    <s v="Vinni Lasteaed"/>
    <n v="15900"/>
    <n v="322040"/>
    <s v="Tasu toitlustamiskuludeks"/>
    <s v="1"/>
    <x v="1"/>
    <s v="0911001"/>
    <s v="Vinni Lasteaed"/>
    <s v="2"/>
    <s v="Valla- ja linnavalitsus"/>
    <s v="01112"/>
    <s v="Valla- ja linnavalitsus"/>
    <s v="11"/>
    <s v="Omatulude eelarve"/>
    <x v="1"/>
    <s v="Valla- ja linnavalitsus"/>
    <m/>
    <m/>
    <n v="15900"/>
  </r>
  <r>
    <s v="Tudu Lasteaed"/>
    <n v="2200"/>
    <n v="322020"/>
    <s v="Koolieelsete lasteasutuste kohatasu"/>
    <s v="1"/>
    <x v="1"/>
    <s v="0911004"/>
    <s v="Tudu Lasteaed"/>
    <s v="2"/>
    <s v="Valla- ja linnavalitsus"/>
    <s v="01112"/>
    <s v="Valla- ja linnavalitsus"/>
    <s v="11"/>
    <s v="Omatulude eelarve"/>
    <x v="1"/>
    <s v="Valla- ja linnavalitsus"/>
    <m/>
    <m/>
    <n v="2200"/>
  </r>
  <r>
    <s v="Kohaliku omavalitsuse tasandusfond"/>
    <n v="1376806"/>
    <n v="352001"/>
    <s v="Kohaliku omavalitsuse tasandusfond"/>
    <s v="1"/>
    <x v="1"/>
    <s v=""/>
    <s v=""/>
    <s v="2"/>
    <s v="Valla- ja linnavalitsus"/>
    <s v="01800"/>
    <s v="Üldiseloomuga ülekanded valitsussektoris"/>
    <s v=""/>
    <s v=""/>
    <x v="7"/>
    <s v="Üldiseloomuga ülekanded valitsussektoris"/>
    <m/>
    <m/>
    <n v="1376806"/>
  </r>
  <r>
    <s v="Kohalike teede hoiu toetus"/>
    <n v="485320"/>
    <n v="352000"/>
    <s v="Kohaliku omavalitsuse toetusfond"/>
    <s v="1"/>
    <x v="1"/>
    <s v=""/>
    <s v=""/>
    <s v="216"/>
    <s v="Teede- ja ühistranspordinõunik"/>
    <s v="04510"/>
    <s v="Maanteetransport"/>
    <s v=""/>
    <s v=""/>
    <x v="8"/>
    <s v="Maanteetransport"/>
    <m/>
    <m/>
    <n v="485320"/>
  </r>
  <r>
    <s v="Raske ja sügava puudega lastele abi osutamise toetus"/>
    <n v="21554"/>
    <n v="352000"/>
    <s v="Kohaliku omavalitsuse toetusfond"/>
    <s v="1"/>
    <x v="1"/>
    <s v=""/>
    <s v=""/>
    <s v="24"/>
    <s v="Sotsiaalteenistus"/>
    <s v="10121"/>
    <s v="Muu puuetega inimeste sotsiaalne kaitse"/>
    <s v=""/>
    <s v=""/>
    <x v="8"/>
    <s v="Muu puuetega inimeste sotsiaalne kaitse"/>
    <m/>
    <m/>
    <n v="21554"/>
  </r>
  <r>
    <s v="Asendus- ja järelhooldusteenuse toetus"/>
    <n v="137167"/>
    <n v="352000"/>
    <s v="Kohaliku omavalitsuse toetusfond"/>
    <s v="1"/>
    <x v="1"/>
    <s v=""/>
    <s v=""/>
    <s v="24"/>
    <s v="Sotsiaalteenistus"/>
    <s v="10400"/>
    <s v="Asendus- ja järelhooldus"/>
    <s v=""/>
    <s v=""/>
    <x v="8"/>
    <s v="Laste ja noorte sotsiaalhoolekande asutused"/>
    <m/>
    <m/>
    <n v="137167"/>
  </r>
  <r>
    <s v="Matusetoetus"/>
    <n v="24479"/>
    <n v="352000"/>
    <s v="Kohaliku omavalitsuse toetusfond"/>
    <s v="1"/>
    <x v="1"/>
    <s v=""/>
    <s v=""/>
    <s v="24"/>
    <s v="Sotsiaalteenistus"/>
    <s v="1040202"/>
    <s v="Matusetoetus"/>
    <s v=""/>
    <s v=""/>
    <x v="8"/>
    <s v="Muu perekondade ja laste sotsiaalne kaitse"/>
    <m/>
    <m/>
    <n v="24479"/>
  </r>
  <r>
    <s v="Toimetulekutoetuse maksmise hüvitis"/>
    <n v="83207"/>
    <n v="352000"/>
    <s v="Kohaliku omavalitsuse toetusfond"/>
    <s v="1"/>
    <x v="1"/>
    <s v=""/>
    <s v=""/>
    <s v="24"/>
    <s v="Sotsiaalteenistus"/>
    <s v="10701"/>
    <s v="Riiklik toimetulekutoetus"/>
    <s v=""/>
    <s v=""/>
    <x v="8"/>
    <s v="Riiklik toimetulekutoetus"/>
    <m/>
    <m/>
    <n v="83207"/>
  </r>
  <r>
    <s v="Koolieelsete lasteasutuste õpetajate tööjõukulude toetus"/>
    <n v="86941"/>
    <n v="352000"/>
    <s v="Kohaliku omavalitsuse toetusfond"/>
    <s v="1"/>
    <x v="1"/>
    <s v=""/>
    <s v=""/>
    <s v="25"/>
    <s v="Haridusteenistus"/>
    <s v="09110"/>
    <s v="Alusharidus"/>
    <s v=""/>
    <s v=""/>
    <x v="8"/>
    <s v="Alusharidus"/>
    <m/>
    <m/>
    <n v="86941"/>
  </r>
  <r>
    <s v="Huvihariduse ja -tegevuse toetus"/>
    <n v="120661"/>
    <n v="352000"/>
    <s v="Kohaliku omavalitsuse toetusfond"/>
    <s v="1"/>
    <x v="1"/>
    <s v=""/>
    <s v=""/>
    <s v="25"/>
    <s v="Haridusteenistus"/>
    <s v="09510"/>
    <s v="Noorte huviharidus ja huvitegevus"/>
    <s v=""/>
    <s v=""/>
    <x v="8"/>
    <s v="Noorte huviharidus ja huvitegevus"/>
    <m/>
    <m/>
    <n v="120661"/>
  </r>
  <r>
    <s v="Tammiku kodu kohatasu (17inx12x605)"/>
    <n v="123420"/>
    <n v="3224"/>
    <s v="TULUD SOTSIAALABIALASEST TEGEVUSEST"/>
    <s v="1"/>
    <x v="1"/>
    <s v=""/>
    <s v=""/>
    <s v="81"/>
    <s v="Tammiku Kodu"/>
    <s v="1020001"/>
    <s v="Tammiku Kodu"/>
    <s v=""/>
    <s v=""/>
    <x v="1"/>
    <s v="Eakate sotsiaalhoolekande asutused"/>
    <m/>
    <m/>
    <n v="123420"/>
  </r>
  <r>
    <s v="Ulvi kodu kohatasu (28inx12x630)"/>
    <n v="211680"/>
    <n v="3224"/>
    <s v="TULUD SOTSIAALABIALASEST TEGEVUSEST"/>
    <s v="1"/>
    <x v="1"/>
    <s v=""/>
    <s v=""/>
    <s v="82"/>
    <s v="Ulvi Kodu"/>
    <s v="1020002"/>
    <s v="Ulvi Kodu"/>
    <s v=""/>
    <s v=""/>
    <x v="1"/>
    <s v="Eakate sotsiaalhoolekande asutused"/>
    <m/>
    <m/>
    <n v="211680"/>
  </r>
  <r>
    <s v="Vinni Perekodu kohatasu"/>
    <n v="983784"/>
    <n v="3224"/>
    <s v="TULUD SOTSIAALABIALASEST TEGEVUSEST"/>
    <s v="1"/>
    <x v="1"/>
    <s v=""/>
    <s v=""/>
    <s v="83"/>
    <s v="Vinni Perekodu"/>
    <s v="1040001"/>
    <s v="Vinni Perekodu"/>
    <s v=""/>
    <s v=""/>
    <x v="1"/>
    <s v="Laste ja noorte sotsiaalhoolekande asutused"/>
    <m/>
    <m/>
    <n v="983784"/>
  </r>
  <r>
    <s v="Koolieelsete lasteasutuste kohatasu"/>
    <n v="2940"/>
    <n v="322020"/>
    <s v="Koolieelsete lasteasutuste kohatasu"/>
    <s v="1"/>
    <x v="1"/>
    <s v="0960201"/>
    <s v="Roela Õpilaskodu"/>
    <s v="2"/>
    <s v="Valla- ja linnavalitsus"/>
    <s v="01112"/>
    <s v="Valla- ja linnavalitsus"/>
    <s v="11"/>
    <s v="Omatulude eelarve"/>
    <x v="1"/>
    <s v="Valla- ja linnavalitsus"/>
    <m/>
    <m/>
    <n v="2940"/>
  </r>
  <r>
    <s v="Koolieelsete lasteasutuste kohatasu (sisaldab gümnaasiumite kohatasu)"/>
    <n v="42048"/>
    <n v="322020"/>
    <s v="Koolieelsete lasteasutuste kohatasu"/>
    <s v="1"/>
    <x v="1"/>
    <s v="0921206"/>
    <s v="Põhikooli kohatasud"/>
    <s v="2"/>
    <s v="Valla- ja linnavalitsus"/>
    <s v="01112"/>
    <s v="Valla- ja linnavalitsus"/>
    <s v="11"/>
    <s v="Omatulude eelarve"/>
    <x v="1"/>
    <s v="Valla- ja linnavalitsus"/>
    <m/>
    <m/>
    <n v="42048"/>
  </r>
  <r>
    <s v="Koolieelsete lasteasutuste kohatasu"/>
    <n v="19529"/>
    <n v="322020"/>
    <s v="Koolieelsete lasteasutuste kohatasu"/>
    <s v="1"/>
    <x v="1"/>
    <s v="0911008"/>
    <s v="Alushariduse kohatasud"/>
    <s v="2"/>
    <s v="Valla- ja linnavalitsus"/>
    <s v="01112"/>
    <s v="Valla- ja linnavalitsus"/>
    <s v="11"/>
    <s v="Omatulude eelarve"/>
    <x v="1"/>
    <s v="Valla- ja linnavalitsus"/>
    <m/>
    <m/>
    <n v="19529"/>
  </r>
  <r>
    <s v="Majandusjuhataja Lasteaia ülesannetes"/>
    <n v="11700.1"/>
    <n v="3224"/>
    <s v="TULUD SOTSIAALABIALASEST TEGEVUSEST"/>
    <s v="1"/>
    <x v="1"/>
    <s v=""/>
    <s v=""/>
    <s v="82"/>
    <s v="Ulvi Kodu"/>
    <s v="1020002"/>
    <s v="Ulvi Kodu"/>
    <s v=""/>
    <s v=""/>
    <x v="1"/>
    <s v="Eakate sotsiaalhoolekande asutused"/>
    <m/>
    <m/>
    <n v="11700.1"/>
  </r>
  <r>
    <s v="Kokk Lasteaia ülesannetes"/>
    <n v="5250.31"/>
    <n v="3224"/>
    <s v="TULUD SOTSIAALABIALASEST TEGEVUSEST"/>
    <s v="1"/>
    <x v="1"/>
    <s v=""/>
    <s v=""/>
    <s v="82"/>
    <s v="Ulvi Kodu"/>
    <s v="1020002"/>
    <s v="Ulvi Kodu"/>
    <s v=""/>
    <s v=""/>
    <x v="1"/>
    <s v="Eakate sotsiaalhoolekande asutused"/>
    <m/>
    <m/>
    <n v="5250.31"/>
  </r>
  <r>
    <s v="Kohaliku omavalitsuse toetusfond ehk pedagoogilised vahendid"/>
    <n v="2025251"/>
    <n v="352000"/>
    <s v="Kohaliku omavalitsuse toetusfond"/>
    <s v="1"/>
    <x v="1"/>
    <s v=""/>
    <s v=""/>
    <s v="25"/>
    <s v="Haridusteenistus"/>
    <s v="09800"/>
    <s v="Muu haridus, sh hariduse haldus"/>
    <m/>
    <m/>
    <x v="8"/>
    <s v="Muu haridus, sh hariduse haldus"/>
    <m/>
    <m/>
    <n v="2025251"/>
  </r>
  <r>
    <s v="Tammiku kodu kohatasu hinnatõus 145€ (17inx11x145) al.01.02.2021"/>
    <n v="27115"/>
    <n v="3224"/>
    <s v="TULUD SOTSIAALABIALASEST TEGEVUSEST"/>
    <s v="1"/>
    <x v="1"/>
    <s v=""/>
    <s v=""/>
    <s v="81"/>
    <s v="Tammiku Kodu"/>
    <s v="1020001"/>
    <s v="Tammiku Kodu"/>
    <m/>
    <m/>
    <x v="1"/>
    <s v="Eakate sotsiaalhoolekande asutused"/>
    <m/>
    <m/>
    <n v="27115"/>
  </r>
  <r>
    <s v="Ulvi kodu kohatasu hinnatõus 120€  (28inx11x120) al. 01.02.2021"/>
    <n v="36960"/>
    <n v="3224"/>
    <s v="TULUD SOTSIAALABIALASEST TEGEVUSEST"/>
    <s v="1"/>
    <x v="1"/>
    <s v=""/>
    <s v=""/>
    <s v="82"/>
    <s v="Ulvi Kodu"/>
    <s v="1020002"/>
    <s v="Ulvi Kodu"/>
    <m/>
    <m/>
    <x v="1"/>
    <s v="Eakate sotsiaalhoolekande asutused"/>
    <m/>
    <m/>
    <n v="36960"/>
  </r>
  <r>
    <s v="2021.a võetavad laenud investeeringute katteks"/>
    <n v="1815000"/>
    <n v="25852"/>
    <s v="Võetud pikaajalised laenud nominaalväärtuses"/>
    <s v="5"/>
    <x v="2"/>
    <m/>
    <m/>
    <s v="2"/>
    <s v="Valla- ja linnavalitsus"/>
    <s v="01112"/>
    <s v="Valla- ja linnavalitsus"/>
    <m/>
    <m/>
    <x v="9"/>
    <s v="Valla- ja linnavalitsus"/>
    <m/>
    <m/>
    <n v="1815000"/>
  </r>
  <r>
    <s v="Rahvastikutoimingute kulude hüvitis"/>
    <n v="4"/>
    <n v="352000"/>
    <s v="Kohaliku omavalitsuse toetusfond"/>
    <s v="1"/>
    <x v="1"/>
    <m/>
    <m/>
    <s v="2"/>
    <s v="Valla- ja linnavalitsus"/>
    <s v="01800"/>
    <s v="Üldiseloomuga ülekanded valitsussektoris"/>
    <m/>
    <m/>
    <x v="8"/>
    <s v="Üldiseloomuga ülekanded valitsussektoris"/>
    <m/>
    <m/>
    <n v="4"/>
  </r>
  <r>
    <s v="Katuserahad"/>
    <n v="14000"/>
    <n v="352"/>
    <s v="SAADUD TEGEVUSTOETUSED"/>
    <s v="1"/>
    <x v="1"/>
    <m/>
    <m/>
    <s v="2"/>
    <s v="Valla- ja linnavalitsus"/>
    <s v="01112"/>
    <s v="Valla- ja linnavalitsus"/>
    <m/>
    <m/>
    <x v="2"/>
    <s v="Valla- ja linnavalitsus"/>
    <m/>
    <m/>
    <n v="14000"/>
  </r>
  <r>
    <s v=" I kv aadressiandmete korrastamise tööde eest"/>
    <m/>
    <n v="3500"/>
    <s v="SAADUD TEGEVUSTOETUSED"/>
    <s v="1"/>
    <x v="1"/>
    <m/>
    <m/>
    <s v="22"/>
    <s v="Majandusteenistus"/>
    <s v="04900"/>
    <s v="Muu majandus (sh majanduse haldus)"/>
    <s v="11"/>
    <s v="Omatulude eelarve"/>
    <x v="2"/>
    <s v="Muu majandus (sh majanduse haldus)"/>
    <m/>
    <m/>
    <n v="0"/>
  </r>
  <r>
    <s v="Põhivara müük"/>
    <n v="0"/>
    <n v="3811"/>
    <s v="Põhivara müük"/>
    <s v="3"/>
    <x v="0"/>
    <m/>
    <m/>
    <s v="2"/>
    <s v="Valla- ja linnavalitsus"/>
    <s v="01112"/>
    <s v="Valla- ja linnavalitsus"/>
    <m/>
    <m/>
    <x v="10"/>
    <s v="Valla- ja linnavalitsus"/>
    <m/>
    <m/>
    <n v="0"/>
  </r>
  <r>
    <s v="Tugiisikuteenuse toetus"/>
    <n v="0"/>
    <n v="3500"/>
    <s v="SAADUD TEGEVUSTOETUSED"/>
    <s v="1"/>
    <x v="1"/>
    <m/>
    <m/>
    <s v="2"/>
    <s v="Valla- ja linnavalitsus"/>
    <s v="01112"/>
    <s v="Valla- ja linnavalitsus"/>
    <s v="11"/>
    <s v="Omatulude eelarve"/>
    <x v="2"/>
    <s v="Valla- ja linnavalitsus"/>
    <m/>
    <m/>
    <n v="0"/>
  </r>
  <r>
    <s v="Ulvi Kodu ravimite, hooldusvahendite müük"/>
    <n v="0"/>
    <n v="3224"/>
    <s v="TULUD SOTSIAALABIALASEST TEGEVUSEST"/>
    <s v="1"/>
    <x v="1"/>
    <m/>
    <m/>
    <s v="82"/>
    <s v="Ulvi Kodu"/>
    <s v="1020002"/>
    <s v="Ulvi Kodu"/>
    <m/>
    <m/>
    <x v="1"/>
    <s v="Eakate sotsiaalhoolekande asutused"/>
    <m/>
    <m/>
    <n v="0"/>
  </r>
  <r>
    <s v="Vinni aleviku multifunktsionaalne hoone põhivara sihfinantseerimin"/>
    <n v="680475"/>
    <n v="3502"/>
    <s v="Saadud sihtfinantseerimine põhivara soetuseks"/>
    <s v="3"/>
    <x v="0"/>
    <s v=""/>
    <s v=""/>
    <s v="22"/>
    <s v="Majandusteenistus"/>
    <s v="0820101"/>
    <s v="Vinni-Pajusti Raamatukogu"/>
    <s v="11"/>
    <s v="Omatulude eelarve"/>
    <x v="0"/>
    <s v="Raamatukogud"/>
    <m/>
    <m/>
    <n v="680475"/>
  </r>
  <r>
    <s v="Laekvere Lasteaia päikesejaam"/>
    <n v="47000"/>
    <n v="3502"/>
    <s v="Saadud sihtfinantseerimine põhivara soetuseks"/>
    <s v="3"/>
    <x v="0"/>
    <m/>
    <m/>
    <s v="22"/>
    <s v="Majandusteenistus"/>
    <s v="0911006"/>
    <s v="Laekvere Lasteaed"/>
    <s v="11"/>
    <s v="Omatulude eelarve"/>
    <x v="0"/>
    <s v="Alusharidus"/>
    <m/>
    <m/>
    <n v="47000"/>
  </r>
</pivotCacheRecords>
</file>

<file path=xl/pivotCache/pivotCacheRecords2.xml><?xml version="1.0" encoding="utf-8"?>
<pivotCacheRecords xmlns="http://schemas.openxmlformats.org/spreadsheetml/2006/main" xmlns:r="http://schemas.openxmlformats.org/officeDocument/2006/relationships" count="1554">
  <r>
    <x v="0"/>
    <n v="300000"/>
    <x v="0"/>
    <x v="0"/>
    <s v="Osalused tütar- ja sidusettevõtjates"/>
    <s v="4"/>
    <x v="0"/>
    <m/>
    <m/>
    <s v="22"/>
    <s v="Majandusteenistus"/>
    <x v="0"/>
    <x v="0"/>
    <x v="0"/>
    <s v=""/>
    <s v=""/>
    <x v="0"/>
    <x v="0"/>
    <m/>
    <m/>
    <n v="300000"/>
  </r>
  <r>
    <x v="1"/>
    <n v="41480.400000000001"/>
    <x v="1"/>
    <x v="0"/>
    <s v="Hooned ja rajatised"/>
    <s v="4"/>
    <x v="0"/>
    <m/>
    <m/>
    <s v="215"/>
    <s v="Ehitusnõunik"/>
    <x v="1"/>
    <x v="1"/>
    <x v="1"/>
    <s v=""/>
    <s v=""/>
    <x v="1"/>
    <x v="1"/>
    <m/>
    <m/>
    <n v="41480.400000000001"/>
  </r>
  <r>
    <x v="2"/>
    <n v="8000"/>
    <x v="2"/>
    <x v="1"/>
    <s v="Antud sihtfinantseerimine tegevuskuludeks"/>
    <s v="2"/>
    <x v="1"/>
    <m/>
    <m/>
    <s v="63"/>
    <s v="Pajusti klubi"/>
    <x v="2"/>
    <x v="2"/>
    <x v="2"/>
    <s v=""/>
    <s v=""/>
    <x v="2"/>
    <x v="2"/>
    <m/>
    <m/>
    <n v="8000"/>
  </r>
  <r>
    <x v="3"/>
    <n v="7848"/>
    <x v="3"/>
    <x v="2"/>
    <s v="Töötajate töötasud"/>
    <s v="2"/>
    <x v="1"/>
    <m/>
    <m/>
    <s v="61"/>
    <s v="Kadila Seltsimaja"/>
    <x v="3"/>
    <x v="0"/>
    <x v="3"/>
    <s v=""/>
    <s v=""/>
    <x v="3"/>
    <x v="3"/>
    <m/>
    <m/>
    <n v="7848"/>
  </r>
  <r>
    <x v="4"/>
    <n v="2652.62"/>
    <x v="4"/>
    <x v="2"/>
    <s v="Tööjõukuludega kaasnevad maksud ja sotsiaalkindlustusmaksed"/>
    <s v="2"/>
    <x v="1"/>
    <m/>
    <m/>
    <s v="61"/>
    <s v="Kadila Seltsimaja"/>
    <x v="3"/>
    <x v="0"/>
    <x v="3"/>
    <s v=""/>
    <s v=""/>
    <x v="3"/>
    <x v="3"/>
    <m/>
    <m/>
    <n v="2652.62"/>
  </r>
  <r>
    <x v="5"/>
    <n v="1800"/>
    <x v="5"/>
    <x v="3"/>
    <s v="Küte ja soojusenergia"/>
    <s v="2"/>
    <x v="1"/>
    <m/>
    <m/>
    <s v="61"/>
    <s v="Kadila Seltsimaja"/>
    <x v="3"/>
    <x v="0"/>
    <x v="3"/>
    <s v=""/>
    <s v=""/>
    <x v="4"/>
    <x v="3"/>
    <m/>
    <m/>
    <n v="1800"/>
  </r>
  <r>
    <x v="6"/>
    <n v="1320"/>
    <x v="6"/>
    <x v="3"/>
    <s v="Elekter"/>
    <s v="2"/>
    <x v="1"/>
    <m/>
    <m/>
    <s v="61"/>
    <s v="Kadila Seltsimaja"/>
    <x v="3"/>
    <x v="0"/>
    <x v="3"/>
    <s v=""/>
    <s v=""/>
    <x v="4"/>
    <x v="3"/>
    <m/>
    <m/>
    <n v="1320"/>
  </r>
  <r>
    <x v="7"/>
    <n v="50"/>
    <x v="7"/>
    <x v="3"/>
    <s v="Vesi ja kanalisatsioon"/>
    <s v="2"/>
    <x v="1"/>
    <m/>
    <m/>
    <s v="61"/>
    <s v="Kadila Seltsimaja"/>
    <x v="3"/>
    <x v="0"/>
    <x v="3"/>
    <s v=""/>
    <s v=""/>
    <x v="4"/>
    <x v="3"/>
    <m/>
    <m/>
    <n v="50"/>
  </r>
  <r>
    <x v="8"/>
    <n v="121.56"/>
    <x v="8"/>
    <x v="3"/>
    <s v="Kinnistute, hoonete ja ruumide majandamiskulud"/>
    <s v="2"/>
    <x v="1"/>
    <m/>
    <m/>
    <s v="61"/>
    <s v="Kadila Seltsimaja"/>
    <x v="3"/>
    <x v="0"/>
    <x v="3"/>
    <s v=""/>
    <s v=""/>
    <x v="4"/>
    <x v="3"/>
    <m/>
    <m/>
    <n v="121.56"/>
  </r>
  <r>
    <x v="9"/>
    <n v="92.4"/>
    <x v="8"/>
    <x v="3"/>
    <s v="Kinnistute, hoonete ja ruumide majandamiskulud"/>
    <s v="2"/>
    <x v="1"/>
    <m/>
    <m/>
    <s v="61"/>
    <s v="Kadila Seltsimaja"/>
    <x v="3"/>
    <x v="0"/>
    <x v="3"/>
    <s v=""/>
    <s v=""/>
    <x v="4"/>
    <x v="3"/>
    <m/>
    <m/>
    <n v="92.4"/>
  </r>
  <r>
    <x v="10"/>
    <n v="780"/>
    <x v="9"/>
    <x v="3"/>
    <s v="Administreerimiskulud"/>
    <s v="2"/>
    <x v="1"/>
    <m/>
    <m/>
    <s v="61"/>
    <s v="Kadila Seltsimaja"/>
    <x v="3"/>
    <x v="0"/>
    <x v="3"/>
    <s v=""/>
    <s v=""/>
    <x v="4"/>
    <x v="3"/>
    <m/>
    <m/>
    <n v="780"/>
  </r>
  <r>
    <x v="11"/>
    <n v="16250"/>
    <x v="2"/>
    <x v="1"/>
    <s v="Antud sihtfinantseerimine tegevuskuludeks"/>
    <s v="2"/>
    <x v="1"/>
    <m/>
    <m/>
    <s v="213"/>
    <s v="Spordinõunik"/>
    <x v="4"/>
    <x v="3"/>
    <x v="4"/>
    <s v=""/>
    <s v=""/>
    <x v="2"/>
    <x v="4"/>
    <m/>
    <m/>
    <n v="16250"/>
  </r>
  <r>
    <x v="12"/>
    <n v="1400000"/>
    <x v="1"/>
    <x v="0"/>
    <s v="Hooned ja rajatised"/>
    <s v="4"/>
    <x v="0"/>
    <m/>
    <m/>
    <s v="215"/>
    <s v="Ehitusnõunik"/>
    <x v="5"/>
    <x v="2"/>
    <x v="5"/>
    <s v=""/>
    <s v=""/>
    <x v="1"/>
    <x v="5"/>
    <m/>
    <m/>
    <n v="1400000"/>
  </r>
  <r>
    <x v="4"/>
    <n v="3090.67"/>
    <x v="4"/>
    <x v="2"/>
    <s v="Tööjõukuludega kaasnevad maksud ja sotsiaalkindlustusmaksed"/>
    <s v="2"/>
    <x v="1"/>
    <m/>
    <m/>
    <s v="58"/>
    <s v="Viru-Jaagupi Raamatukogu"/>
    <x v="6"/>
    <x v="2"/>
    <x v="6"/>
    <s v=""/>
    <s v=""/>
    <x v="3"/>
    <x v="5"/>
    <m/>
    <m/>
    <n v="3090.67"/>
  </r>
  <r>
    <x v="13"/>
    <n v="9144"/>
    <x v="3"/>
    <x v="2"/>
    <s v="Töötajate töötasud"/>
    <s v="2"/>
    <x v="1"/>
    <m/>
    <m/>
    <s v="58"/>
    <s v="Viru-Jaagupi Raamatukogu"/>
    <x v="6"/>
    <x v="2"/>
    <x v="6"/>
    <s v=""/>
    <s v=""/>
    <x v="3"/>
    <x v="5"/>
    <m/>
    <m/>
    <n v="9144"/>
  </r>
  <r>
    <x v="14"/>
    <n v="100"/>
    <x v="9"/>
    <x v="3"/>
    <s v="Administreerimiskulud"/>
    <s v="2"/>
    <x v="1"/>
    <m/>
    <m/>
    <s v="58"/>
    <s v="Viru-Jaagupi Raamatukogu"/>
    <x v="6"/>
    <x v="2"/>
    <x v="6"/>
    <s v=""/>
    <s v=""/>
    <x v="4"/>
    <x v="5"/>
    <m/>
    <m/>
    <n v="100"/>
  </r>
  <r>
    <x v="15"/>
    <n v="240"/>
    <x v="10"/>
    <x v="3"/>
    <s v="Info- ja kommunikatsioonitehnoloogia kulud"/>
    <s v="2"/>
    <x v="1"/>
    <m/>
    <m/>
    <s v="58"/>
    <s v="Viru-Jaagupi Raamatukogu"/>
    <x v="6"/>
    <x v="2"/>
    <x v="6"/>
    <s v=""/>
    <s v=""/>
    <x v="4"/>
    <x v="5"/>
    <m/>
    <m/>
    <n v="240"/>
  </r>
  <r>
    <x v="16"/>
    <n v="3439.08"/>
    <x v="10"/>
    <x v="3"/>
    <s v="Info- ja kommunikatsioonitehnoloogia kulud"/>
    <s v="2"/>
    <x v="1"/>
    <m/>
    <m/>
    <s v="45"/>
    <s v="Vinni pajusti Gümnaasium"/>
    <x v="7"/>
    <x v="1"/>
    <x v="7"/>
    <s v=""/>
    <s v=""/>
    <x v="4"/>
    <x v="6"/>
    <m/>
    <m/>
    <n v="3439.08"/>
  </r>
  <r>
    <x v="17"/>
    <n v="7848"/>
    <x v="3"/>
    <x v="2"/>
    <s v="Töötajate töötasud"/>
    <s v="2"/>
    <x v="1"/>
    <m/>
    <m/>
    <s v="45"/>
    <s v="Vinni pajusti Gümnaasium"/>
    <x v="7"/>
    <x v="1"/>
    <x v="7"/>
    <s v=""/>
    <s v=""/>
    <x v="3"/>
    <x v="6"/>
    <m/>
    <m/>
    <n v="7848"/>
  </r>
  <r>
    <x v="18"/>
    <n v="15780"/>
    <x v="3"/>
    <x v="2"/>
    <s v="Töötajate töötasud"/>
    <s v="2"/>
    <x v="1"/>
    <m/>
    <m/>
    <s v="45"/>
    <s v="Vinni pajusti Gümnaasium"/>
    <x v="7"/>
    <x v="1"/>
    <x v="7"/>
    <s v=""/>
    <s v=""/>
    <x v="3"/>
    <x v="6"/>
    <m/>
    <m/>
    <n v="15780"/>
  </r>
  <r>
    <x v="19"/>
    <n v="1050"/>
    <x v="11"/>
    <x v="3"/>
    <s v="Kütus"/>
    <s v="2"/>
    <x v="1"/>
    <m/>
    <m/>
    <s v="45"/>
    <s v="Vinni pajusti Gümnaasium"/>
    <x v="7"/>
    <x v="1"/>
    <x v="7"/>
    <s v=""/>
    <s v=""/>
    <x v="4"/>
    <x v="6"/>
    <m/>
    <m/>
    <n v="1050"/>
  </r>
  <r>
    <x v="20"/>
    <n v="660"/>
    <x v="11"/>
    <x v="3"/>
    <s v="Kütus"/>
    <s v="2"/>
    <x v="1"/>
    <m/>
    <m/>
    <s v="45"/>
    <s v="Vinni pajusti Gümnaasium"/>
    <x v="7"/>
    <x v="1"/>
    <x v="7"/>
    <s v=""/>
    <s v=""/>
    <x v="4"/>
    <x v="6"/>
    <m/>
    <m/>
    <n v="660"/>
  </r>
  <r>
    <x v="21"/>
    <n v="1620"/>
    <x v="11"/>
    <x v="3"/>
    <s v="Kütus"/>
    <s v="2"/>
    <x v="1"/>
    <m/>
    <m/>
    <s v="45"/>
    <s v="Vinni pajusti Gümnaasium"/>
    <x v="7"/>
    <x v="1"/>
    <x v="7"/>
    <s v=""/>
    <s v=""/>
    <x v="4"/>
    <x v="6"/>
    <m/>
    <m/>
    <n v="1620"/>
  </r>
  <r>
    <x v="22"/>
    <n v="1320"/>
    <x v="11"/>
    <x v="3"/>
    <s v="Kütus"/>
    <s v="2"/>
    <x v="1"/>
    <m/>
    <m/>
    <s v="45"/>
    <s v="Vinni pajusti Gümnaasium"/>
    <x v="7"/>
    <x v="1"/>
    <x v="7"/>
    <s v=""/>
    <s v=""/>
    <x v="4"/>
    <x v="6"/>
    <m/>
    <m/>
    <n v="1320"/>
  </r>
  <r>
    <x v="23"/>
    <n v="300"/>
    <x v="12"/>
    <x v="3"/>
    <s v="Kindlustus"/>
    <s v="2"/>
    <x v="1"/>
    <m/>
    <m/>
    <s v="45"/>
    <s v="Vinni pajusti Gümnaasium"/>
    <x v="7"/>
    <x v="1"/>
    <x v="7"/>
    <s v=""/>
    <s v=""/>
    <x v="4"/>
    <x v="6"/>
    <m/>
    <m/>
    <n v="300"/>
  </r>
  <r>
    <x v="24"/>
    <n v="3526.2"/>
    <x v="13"/>
    <x v="3"/>
    <s v="Sõidukite kasutusrent"/>
    <s v="2"/>
    <x v="1"/>
    <m/>
    <m/>
    <s v="45"/>
    <s v="Vinni pajusti Gümnaasium"/>
    <x v="7"/>
    <x v="1"/>
    <x v="7"/>
    <s v=""/>
    <s v=""/>
    <x v="4"/>
    <x v="6"/>
    <m/>
    <m/>
    <n v="3526.2"/>
  </r>
  <r>
    <x v="25"/>
    <n v="4978.25"/>
    <x v="13"/>
    <x v="3"/>
    <s v="Sõidukite kasutusrent"/>
    <s v="2"/>
    <x v="1"/>
    <m/>
    <m/>
    <s v="45"/>
    <s v="Vinni pajusti Gümnaasium"/>
    <x v="7"/>
    <x v="1"/>
    <x v="7"/>
    <s v=""/>
    <s v=""/>
    <x v="4"/>
    <x v="6"/>
    <m/>
    <m/>
    <n v="4978.25"/>
  </r>
  <r>
    <x v="26"/>
    <n v="440"/>
    <x v="14"/>
    <x v="3"/>
    <s v="Isikliku sõiduauto kompensatsioon"/>
    <s v="2"/>
    <x v="1"/>
    <m/>
    <m/>
    <s v="45"/>
    <s v="Vinni pajusti Gümnaasium"/>
    <x v="7"/>
    <x v="1"/>
    <x v="7"/>
    <s v=""/>
    <s v=""/>
    <x v="4"/>
    <x v="6"/>
    <m/>
    <m/>
    <n v="440"/>
  </r>
  <r>
    <x v="27"/>
    <n v="1650"/>
    <x v="14"/>
    <x v="3"/>
    <s v="Isikliku sõiduauto kompensatsioon"/>
    <s v="2"/>
    <x v="1"/>
    <m/>
    <m/>
    <s v="45"/>
    <s v="Vinni pajusti Gümnaasium"/>
    <x v="7"/>
    <x v="1"/>
    <x v="7"/>
    <s v=""/>
    <s v=""/>
    <x v="4"/>
    <x v="6"/>
    <m/>
    <m/>
    <n v="1650"/>
  </r>
  <r>
    <x v="4"/>
    <n v="99931.72"/>
    <x v="4"/>
    <x v="2"/>
    <s v="Tööjõukuludega kaasnevad maksud ja sotsiaalkindlustusmaksed"/>
    <s v="2"/>
    <x v="1"/>
    <m/>
    <m/>
    <s v="45"/>
    <s v="Vinni pajusti Gümnaasium"/>
    <x v="7"/>
    <x v="1"/>
    <x v="7"/>
    <s v=""/>
    <s v=""/>
    <x v="3"/>
    <x v="6"/>
    <m/>
    <m/>
    <n v="99931.72"/>
  </r>
  <r>
    <x v="28"/>
    <n v="7968"/>
    <x v="3"/>
    <x v="2"/>
    <s v="Töötajate töötasud"/>
    <s v="2"/>
    <x v="1"/>
    <m/>
    <m/>
    <s v="31"/>
    <s v="Vinni Lasteaed"/>
    <x v="8"/>
    <x v="1"/>
    <x v="8"/>
    <s v=""/>
    <s v=""/>
    <x v="3"/>
    <x v="1"/>
    <m/>
    <m/>
    <n v="7968"/>
  </r>
  <r>
    <x v="29"/>
    <n v="17400"/>
    <x v="3"/>
    <x v="2"/>
    <s v="Töötajate töötasud"/>
    <s v="2"/>
    <x v="1"/>
    <m/>
    <m/>
    <s v="45"/>
    <s v="Vinni pajusti Gümnaasium"/>
    <x v="7"/>
    <x v="1"/>
    <x v="7"/>
    <s v=""/>
    <s v=""/>
    <x v="3"/>
    <x v="6"/>
    <m/>
    <m/>
    <n v="17400"/>
  </r>
  <r>
    <x v="30"/>
    <n v="7848"/>
    <x v="3"/>
    <x v="2"/>
    <s v="Töötajate töötasud"/>
    <s v="2"/>
    <x v="1"/>
    <m/>
    <m/>
    <s v="45"/>
    <s v="Vinni pajusti Gümnaasium"/>
    <x v="7"/>
    <x v="1"/>
    <x v="7"/>
    <s v=""/>
    <s v=""/>
    <x v="3"/>
    <x v="6"/>
    <m/>
    <m/>
    <n v="7848"/>
  </r>
  <r>
    <x v="31"/>
    <n v="18780"/>
    <x v="3"/>
    <x v="2"/>
    <s v="Töötajate töötasud"/>
    <s v="2"/>
    <x v="1"/>
    <m/>
    <m/>
    <s v="45"/>
    <s v="Vinni pajusti Gümnaasium"/>
    <x v="7"/>
    <x v="1"/>
    <x v="7"/>
    <s v=""/>
    <s v=""/>
    <x v="3"/>
    <x v="6"/>
    <m/>
    <m/>
    <n v="18780"/>
  </r>
  <r>
    <x v="32"/>
    <n v="15780"/>
    <x v="3"/>
    <x v="2"/>
    <s v="Töötajate töötasud"/>
    <s v="2"/>
    <x v="1"/>
    <m/>
    <m/>
    <s v="45"/>
    <s v="Vinni pajusti Gümnaasium"/>
    <x v="7"/>
    <x v="1"/>
    <x v="7"/>
    <s v=""/>
    <s v=""/>
    <x v="3"/>
    <x v="6"/>
    <m/>
    <m/>
    <n v="15780"/>
  </r>
  <r>
    <x v="33"/>
    <n v="7800"/>
    <x v="3"/>
    <x v="2"/>
    <s v="Töötajate töötasud"/>
    <s v="2"/>
    <x v="1"/>
    <m/>
    <m/>
    <s v="45"/>
    <s v="Vinni pajusti Gümnaasium"/>
    <x v="7"/>
    <x v="1"/>
    <x v="7"/>
    <s v=""/>
    <s v=""/>
    <x v="3"/>
    <x v="6"/>
    <m/>
    <m/>
    <n v="7800"/>
  </r>
  <r>
    <x v="34"/>
    <n v="13440"/>
    <x v="3"/>
    <x v="2"/>
    <s v="Töötajate töötasud"/>
    <s v="2"/>
    <x v="1"/>
    <m/>
    <m/>
    <s v="45"/>
    <s v="Vinni pajusti Gümnaasium"/>
    <x v="7"/>
    <x v="1"/>
    <x v="7"/>
    <s v=""/>
    <s v=""/>
    <x v="3"/>
    <x v="6"/>
    <m/>
    <m/>
    <n v="13440"/>
  </r>
  <r>
    <x v="35"/>
    <n v="7080"/>
    <x v="3"/>
    <x v="2"/>
    <s v="Töötajate töötasud"/>
    <s v="2"/>
    <x v="1"/>
    <m/>
    <m/>
    <s v="45"/>
    <s v="Vinni pajusti Gümnaasium"/>
    <x v="7"/>
    <x v="1"/>
    <x v="7"/>
    <s v=""/>
    <s v=""/>
    <x v="3"/>
    <x v="6"/>
    <m/>
    <m/>
    <n v="7080"/>
  </r>
  <r>
    <x v="36"/>
    <n v="7848"/>
    <x v="3"/>
    <x v="2"/>
    <s v="Töötajate töötasud"/>
    <s v="2"/>
    <x v="1"/>
    <m/>
    <m/>
    <s v="45"/>
    <s v="Vinni pajusti Gümnaasium"/>
    <x v="7"/>
    <x v="1"/>
    <x v="7"/>
    <s v=""/>
    <s v=""/>
    <x v="3"/>
    <x v="6"/>
    <m/>
    <m/>
    <n v="7848"/>
  </r>
  <r>
    <x v="28"/>
    <n v="7200"/>
    <x v="3"/>
    <x v="2"/>
    <s v="Töötajate töötasud"/>
    <s v="2"/>
    <x v="1"/>
    <m/>
    <m/>
    <s v="31"/>
    <s v="Vinni Lasteaed"/>
    <x v="8"/>
    <x v="1"/>
    <x v="8"/>
    <s v=""/>
    <s v=""/>
    <x v="3"/>
    <x v="1"/>
    <m/>
    <m/>
    <n v="7200"/>
  </r>
  <r>
    <x v="37"/>
    <n v="8124"/>
    <x v="3"/>
    <x v="2"/>
    <s v="Töötajate töötasud"/>
    <s v="2"/>
    <x v="1"/>
    <m/>
    <m/>
    <s v="45"/>
    <s v="Vinni pajusti Gümnaasium"/>
    <x v="7"/>
    <x v="1"/>
    <x v="7"/>
    <s v=""/>
    <s v=""/>
    <x v="3"/>
    <x v="6"/>
    <m/>
    <m/>
    <n v="8124"/>
  </r>
  <r>
    <x v="38"/>
    <n v="15000"/>
    <x v="3"/>
    <x v="2"/>
    <s v="Töötajate töötasud"/>
    <s v="2"/>
    <x v="1"/>
    <m/>
    <m/>
    <s v="45"/>
    <s v="Vinni pajusti Gümnaasium"/>
    <x v="7"/>
    <x v="1"/>
    <x v="7"/>
    <s v=""/>
    <s v=""/>
    <x v="3"/>
    <x v="6"/>
    <m/>
    <m/>
    <n v="15000"/>
  </r>
  <r>
    <x v="39"/>
    <n v="7848"/>
    <x v="3"/>
    <x v="2"/>
    <s v="Töötajate töötasud"/>
    <s v="2"/>
    <x v="1"/>
    <m/>
    <m/>
    <s v="45"/>
    <s v="Vinni pajusti Gümnaasium"/>
    <x v="7"/>
    <x v="1"/>
    <x v="7"/>
    <s v=""/>
    <s v=""/>
    <x v="3"/>
    <x v="6"/>
    <m/>
    <m/>
    <n v="7848"/>
  </r>
  <r>
    <x v="40"/>
    <n v="8400"/>
    <x v="3"/>
    <x v="2"/>
    <s v="Töötajate töötasud"/>
    <s v="2"/>
    <x v="1"/>
    <m/>
    <m/>
    <s v="45"/>
    <s v="Vinni pajusti Gümnaasium"/>
    <x v="7"/>
    <x v="1"/>
    <x v="7"/>
    <s v=""/>
    <s v=""/>
    <x v="3"/>
    <x v="6"/>
    <m/>
    <m/>
    <n v="8400"/>
  </r>
  <r>
    <x v="41"/>
    <n v="13200"/>
    <x v="3"/>
    <x v="2"/>
    <s v="Töötajate töötasud"/>
    <s v="2"/>
    <x v="1"/>
    <m/>
    <m/>
    <s v="45"/>
    <s v="Vinni pajusti Gümnaasium"/>
    <x v="7"/>
    <x v="1"/>
    <x v="7"/>
    <s v=""/>
    <s v=""/>
    <x v="3"/>
    <x v="6"/>
    <m/>
    <m/>
    <n v="13200"/>
  </r>
  <r>
    <x v="42"/>
    <n v="15780"/>
    <x v="3"/>
    <x v="2"/>
    <s v="Töötajate töötasud"/>
    <s v="2"/>
    <x v="1"/>
    <m/>
    <m/>
    <s v="45"/>
    <s v="Vinni pajusti Gümnaasium"/>
    <x v="7"/>
    <x v="1"/>
    <x v="7"/>
    <s v=""/>
    <s v=""/>
    <x v="3"/>
    <x v="6"/>
    <m/>
    <m/>
    <n v="15780"/>
  </r>
  <r>
    <x v="35"/>
    <n v="7080"/>
    <x v="3"/>
    <x v="2"/>
    <s v="Töötajate töötasud"/>
    <s v="2"/>
    <x v="1"/>
    <m/>
    <m/>
    <s v="45"/>
    <s v="Vinni pajusti Gümnaasium"/>
    <x v="7"/>
    <x v="1"/>
    <x v="7"/>
    <s v=""/>
    <s v=""/>
    <x v="3"/>
    <x v="6"/>
    <m/>
    <m/>
    <n v="7080"/>
  </r>
  <r>
    <x v="43"/>
    <n v="7848"/>
    <x v="3"/>
    <x v="2"/>
    <s v="Töötajate töötasud"/>
    <s v="2"/>
    <x v="1"/>
    <m/>
    <m/>
    <s v="45"/>
    <s v="Vinni pajusti Gümnaasium"/>
    <x v="7"/>
    <x v="1"/>
    <x v="7"/>
    <s v=""/>
    <s v=""/>
    <x v="3"/>
    <x v="6"/>
    <m/>
    <m/>
    <n v="7848"/>
  </r>
  <r>
    <x v="44"/>
    <n v="15780"/>
    <x v="3"/>
    <x v="2"/>
    <s v="Töötajate töötasud"/>
    <s v="2"/>
    <x v="1"/>
    <m/>
    <m/>
    <s v="45"/>
    <s v="Vinni pajusti Gümnaasium"/>
    <x v="7"/>
    <x v="1"/>
    <x v="7"/>
    <s v=""/>
    <s v=""/>
    <x v="3"/>
    <x v="6"/>
    <m/>
    <m/>
    <n v="15780"/>
  </r>
  <r>
    <x v="45"/>
    <n v="1752"/>
    <x v="3"/>
    <x v="2"/>
    <s v="Töötajate töötasud"/>
    <s v="2"/>
    <x v="1"/>
    <m/>
    <m/>
    <s v="45"/>
    <s v="Vinni pajusti Gümnaasium"/>
    <x v="7"/>
    <x v="1"/>
    <x v="7"/>
    <s v=""/>
    <s v=""/>
    <x v="3"/>
    <x v="6"/>
    <m/>
    <m/>
    <n v="1752"/>
  </r>
  <r>
    <x v="45"/>
    <n v="912"/>
    <x v="3"/>
    <x v="2"/>
    <s v="Töötajate töötasud"/>
    <s v="2"/>
    <x v="1"/>
    <m/>
    <m/>
    <s v="45"/>
    <s v="Vinni pajusti Gümnaasium"/>
    <x v="7"/>
    <x v="1"/>
    <x v="7"/>
    <s v=""/>
    <s v=""/>
    <x v="3"/>
    <x v="6"/>
    <m/>
    <m/>
    <n v="912"/>
  </r>
  <r>
    <x v="46"/>
    <n v="47088"/>
    <x v="3"/>
    <x v="2"/>
    <s v="Töötajate töötasud"/>
    <s v="2"/>
    <x v="1"/>
    <m/>
    <m/>
    <s v="45"/>
    <s v="Vinni pajusti Gümnaasium"/>
    <x v="7"/>
    <x v="1"/>
    <x v="7"/>
    <s v=""/>
    <s v=""/>
    <x v="3"/>
    <x v="6"/>
    <m/>
    <m/>
    <n v="47088"/>
  </r>
  <r>
    <x v="47"/>
    <n v="6720"/>
    <x v="3"/>
    <x v="2"/>
    <s v="Töötajate töötasud"/>
    <s v="2"/>
    <x v="1"/>
    <m/>
    <m/>
    <s v="45"/>
    <s v="Vinni pajusti Gümnaasium"/>
    <x v="7"/>
    <x v="1"/>
    <x v="7"/>
    <s v=""/>
    <s v=""/>
    <x v="3"/>
    <x v="6"/>
    <m/>
    <m/>
    <n v="6720"/>
  </r>
  <r>
    <x v="48"/>
    <n v="105000"/>
    <x v="5"/>
    <x v="3"/>
    <s v="Küte ja soojusenergia"/>
    <s v="2"/>
    <x v="1"/>
    <m/>
    <m/>
    <s v="45"/>
    <s v="Vinni pajusti Gümnaasium"/>
    <x v="7"/>
    <x v="1"/>
    <x v="7"/>
    <s v=""/>
    <s v=""/>
    <x v="4"/>
    <x v="6"/>
    <m/>
    <m/>
    <n v="105000"/>
  </r>
  <r>
    <x v="6"/>
    <n v="25200"/>
    <x v="6"/>
    <x v="3"/>
    <s v="Elekter"/>
    <s v="2"/>
    <x v="1"/>
    <m/>
    <m/>
    <s v="45"/>
    <s v="Vinni pajusti Gümnaasium"/>
    <x v="7"/>
    <x v="1"/>
    <x v="7"/>
    <s v=""/>
    <s v=""/>
    <x v="4"/>
    <x v="6"/>
    <m/>
    <m/>
    <n v="25200"/>
  </r>
  <r>
    <x v="49"/>
    <n v="920.28"/>
    <x v="8"/>
    <x v="3"/>
    <s v="Kinnistute, hoonete ja ruumide majandamiskulud"/>
    <s v="2"/>
    <x v="1"/>
    <m/>
    <m/>
    <s v="45"/>
    <s v="Vinni pajusti Gümnaasium"/>
    <x v="7"/>
    <x v="1"/>
    <x v="7"/>
    <s v=""/>
    <s v=""/>
    <x v="4"/>
    <x v="6"/>
    <m/>
    <m/>
    <n v="920.28"/>
  </r>
  <r>
    <x v="50"/>
    <n v="957.84"/>
    <x v="8"/>
    <x v="3"/>
    <s v="Kinnistute, hoonete ja ruumide majandamiskulud"/>
    <s v="2"/>
    <x v="1"/>
    <m/>
    <m/>
    <s v="45"/>
    <s v="Vinni pajusti Gümnaasium"/>
    <x v="7"/>
    <x v="1"/>
    <x v="7"/>
    <s v=""/>
    <s v=""/>
    <x v="4"/>
    <x v="6"/>
    <m/>
    <m/>
    <n v="957.84"/>
  </r>
  <r>
    <x v="51"/>
    <n v="987.36"/>
    <x v="8"/>
    <x v="3"/>
    <s v="Kinnistute, hoonete ja ruumide majandamiskulud"/>
    <s v="2"/>
    <x v="1"/>
    <m/>
    <m/>
    <s v="45"/>
    <s v="Vinni pajusti Gümnaasium"/>
    <x v="7"/>
    <x v="1"/>
    <x v="7"/>
    <s v=""/>
    <s v=""/>
    <x v="4"/>
    <x v="6"/>
    <m/>
    <m/>
    <n v="987.36"/>
  </r>
  <r>
    <x v="52"/>
    <n v="158.4"/>
    <x v="10"/>
    <x v="3"/>
    <s v="Info- ja kommunikatsioonitehnoloogia kulud"/>
    <s v="2"/>
    <x v="1"/>
    <m/>
    <m/>
    <s v="45"/>
    <s v="Vinni pajusti Gümnaasium"/>
    <x v="7"/>
    <x v="1"/>
    <x v="7"/>
    <s v=""/>
    <s v=""/>
    <x v="4"/>
    <x v="6"/>
    <m/>
    <m/>
    <n v="158.4"/>
  </r>
  <r>
    <x v="53"/>
    <n v="1518.96"/>
    <x v="8"/>
    <x v="3"/>
    <s v="Kinnistute, hoonete ja ruumide majandamiskulud"/>
    <s v="2"/>
    <x v="1"/>
    <m/>
    <m/>
    <s v="45"/>
    <s v="Vinni pajusti Gümnaasium"/>
    <x v="7"/>
    <x v="1"/>
    <x v="7"/>
    <s v=""/>
    <s v=""/>
    <x v="4"/>
    <x v="6"/>
    <m/>
    <m/>
    <n v="1518.96"/>
  </r>
  <r>
    <x v="54"/>
    <n v="3360"/>
    <x v="15"/>
    <x v="3"/>
    <s v="Õppevahendite ja koolituse kulud"/>
    <s v="2"/>
    <x v="1"/>
    <m/>
    <m/>
    <s v="45"/>
    <s v="Vinni pajusti Gümnaasium"/>
    <x v="7"/>
    <x v="1"/>
    <x v="7"/>
    <m/>
    <s v=""/>
    <x v="4"/>
    <x v="6"/>
    <m/>
    <m/>
    <n v="3360"/>
  </r>
  <r>
    <x v="7"/>
    <n v="14080"/>
    <x v="7"/>
    <x v="3"/>
    <s v="Vesi ja kanalisatsioon"/>
    <s v="2"/>
    <x v="1"/>
    <m/>
    <m/>
    <s v="45"/>
    <s v="Vinni pajusti Gümnaasium"/>
    <x v="7"/>
    <x v="1"/>
    <x v="7"/>
    <s v=""/>
    <s v=""/>
    <x v="4"/>
    <x v="6"/>
    <m/>
    <m/>
    <n v="14080"/>
  </r>
  <r>
    <x v="55"/>
    <n v="366.72"/>
    <x v="8"/>
    <x v="3"/>
    <s v="Kinnistute, hoonete ja ruumide majandamiskulud"/>
    <s v="2"/>
    <x v="1"/>
    <m/>
    <m/>
    <s v="45"/>
    <s v="Vinni pajusti Gümnaasium"/>
    <x v="7"/>
    <x v="1"/>
    <x v="7"/>
    <s v=""/>
    <s v=""/>
    <x v="4"/>
    <x v="6"/>
    <m/>
    <m/>
    <n v="366.72"/>
  </r>
  <r>
    <x v="56"/>
    <n v="162.24"/>
    <x v="8"/>
    <x v="3"/>
    <s v="Kinnistute, hoonete ja ruumide majandamiskulud"/>
    <s v="2"/>
    <x v="1"/>
    <m/>
    <m/>
    <s v="45"/>
    <s v="Vinni pajusti Gümnaasium"/>
    <x v="7"/>
    <x v="1"/>
    <x v="7"/>
    <s v=""/>
    <s v=""/>
    <x v="4"/>
    <x v="6"/>
    <m/>
    <m/>
    <n v="162.24"/>
  </r>
  <r>
    <x v="57"/>
    <n v="1232"/>
    <x v="9"/>
    <x v="3"/>
    <s v="Administreerimiskulud"/>
    <s v="2"/>
    <x v="1"/>
    <m/>
    <m/>
    <s v="45"/>
    <s v="Vinni pajusti Gümnaasium"/>
    <x v="7"/>
    <x v="1"/>
    <x v="7"/>
    <s v=""/>
    <s v=""/>
    <x v="4"/>
    <x v="6"/>
    <m/>
    <m/>
    <n v="1232"/>
  </r>
  <r>
    <x v="10"/>
    <n v="115.2"/>
    <x v="9"/>
    <x v="3"/>
    <s v="Administreerimiskulud"/>
    <s v="2"/>
    <x v="1"/>
    <m/>
    <m/>
    <s v="45"/>
    <s v="Vinni pajusti Gümnaasium"/>
    <x v="7"/>
    <x v="1"/>
    <x v="7"/>
    <s v=""/>
    <s v=""/>
    <x v="4"/>
    <x v="6"/>
    <m/>
    <m/>
    <n v="115.2"/>
  </r>
  <r>
    <x v="58"/>
    <n v="7687.08"/>
    <x v="9"/>
    <x v="3"/>
    <s v="Administreerimiskulud"/>
    <s v="2"/>
    <x v="1"/>
    <m/>
    <m/>
    <s v="45"/>
    <s v="Vinni pajusti Gümnaasium"/>
    <x v="7"/>
    <x v="1"/>
    <x v="7"/>
    <s v=""/>
    <s v=""/>
    <x v="4"/>
    <x v="6"/>
    <m/>
    <m/>
    <n v="7687.08"/>
  </r>
  <r>
    <x v="59"/>
    <n v="385.44"/>
    <x v="8"/>
    <x v="3"/>
    <s v="Kinnistute, hoonete ja ruumide majandamiskulud"/>
    <s v="2"/>
    <x v="1"/>
    <m/>
    <m/>
    <s v="45"/>
    <s v="Vinni pajusti Gümnaasium"/>
    <x v="7"/>
    <x v="1"/>
    <x v="7"/>
    <s v=""/>
    <s v=""/>
    <x v="4"/>
    <x v="6"/>
    <m/>
    <m/>
    <n v="385.44"/>
  </r>
  <r>
    <x v="60"/>
    <n v="960"/>
    <x v="10"/>
    <x v="3"/>
    <s v="Info- ja kommunikatsioonitehnoloogia kulud"/>
    <s v="2"/>
    <x v="1"/>
    <m/>
    <m/>
    <s v="45"/>
    <s v="Vinni pajusti Gümnaasium"/>
    <x v="7"/>
    <x v="1"/>
    <x v="7"/>
    <s v=""/>
    <s v=""/>
    <x v="4"/>
    <x v="6"/>
    <m/>
    <m/>
    <n v="960"/>
  </r>
  <r>
    <x v="61"/>
    <n v="2200"/>
    <x v="14"/>
    <x v="3"/>
    <s v="Isikliku sõiduauto kompensatsioon"/>
    <s v="2"/>
    <x v="1"/>
    <m/>
    <m/>
    <s v="68"/>
    <s v="Vinni Vallamuuseum"/>
    <x v="9"/>
    <x v="2"/>
    <x v="9"/>
    <s v=""/>
    <s v=""/>
    <x v="4"/>
    <x v="7"/>
    <m/>
    <m/>
    <n v="2200"/>
  </r>
  <r>
    <x v="4"/>
    <n v="6327.36"/>
    <x v="4"/>
    <x v="2"/>
    <s v="Tööjõukuludega kaasnevad maksud ja sotsiaalkindlustusmaksed"/>
    <s v="2"/>
    <x v="1"/>
    <m/>
    <m/>
    <s v="68"/>
    <s v="Vinni Vallamuuseum"/>
    <x v="9"/>
    <x v="2"/>
    <x v="9"/>
    <s v=""/>
    <s v=""/>
    <x v="3"/>
    <x v="7"/>
    <m/>
    <m/>
    <n v="6327.36"/>
  </r>
  <r>
    <x v="13"/>
    <n v="18720"/>
    <x v="3"/>
    <x v="2"/>
    <s v="Töötajate töötasud"/>
    <s v="2"/>
    <x v="1"/>
    <m/>
    <m/>
    <s v="68"/>
    <s v="Vinni Vallamuuseum"/>
    <x v="9"/>
    <x v="2"/>
    <x v="9"/>
    <s v=""/>
    <s v=""/>
    <x v="3"/>
    <x v="7"/>
    <m/>
    <m/>
    <n v="18720"/>
  </r>
  <r>
    <x v="4"/>
    <n v="4087.77"/>
    <x v="4"/>
    <x v="2"/>
    <s v="Tööjõukuludega kaasnevad maksud ja sotsiaalkindlustusmaksed"/>
    <s v="2"/>
    <x v="1"/>
    <m/>
    <m/>
    <s v="217"/>
    <s v="Noorsootöö koordineerimine"/>
    <x v="10"/>
    <x v="2"/>
    <x v="10"/>
    <s v=""/>
    <s v=""/>
    <x v="3"/>
    <x v="8"/>
    <m/>
    <m/>
    <n v="4087.77"/>
  </r>
  <r>
    <x v="62"/>
    <n v="8170"/>
    <x v="3"/>
    <x v="2"/>
    <s v="Töötajate töötasud"/>
    <s v="2"/>
    <x v="1"/>
    <m/>
    <m/>
    <s v="217"/>
    <s v="Noorsootöö koordineerimine"/>
    <x v="10"/>
    <x v="2"/>
    <x v="10"/>
    <s v=""/>
    <s v=""/>
    <x v="3"/>
    <x v="8"/>
    <m/>
    <m/>
    <n v="8170"/>
  </r>
  <r>
    <x v="63"/>
    <n v="1500"/>
    <x v="16"/>
    <x v="3"/>
    <s v="Toiduained ja toitlustusteenused"/>
    <s v="2"/>
    <x v="1"/>
    <m/>
    <m/>
    <s v="217"/>
    <s v="Noorsootöö koordineerimine"/>
    <x v="10"/>
    <x v="2"/>
    <x v="10"/>
    <m/>
    <m/>
    <x v="4"/>
    <x v="8"/>
    <m/>
    <m/>
    <n v="1500"/>
  </r>
  <r>
    <x v="64"/>
    <n v="600"/>
    <x v="8"/>
    <x v="3"/>
    <s v="Kinnistute, hoonete ja ruumide majandamiskulud"/>
    <s v="2"/>
    <x v="1"/>
    <m/>
    <m/>
    <s v="217"/>
    <s v="Noorsootöö koordineerimine"/>
    <x v="10"/>
    <x v="2"/>
    <x v="10"/>
    <m/>
    <m/>
    <x v="4"/>
    <x v="8"/>
    <m/>
    <m/>
    <n v="600"/>
  </r>
  <r>
    <x v="6"/>
    <n v="100"/>
    <x v="6"/>
    <x v="3"/>
    <s v="Elekter"/>
    <s v="2"/>
    <x v="1"/>
    <m/>
    <m/>
    <s v="217"/>
    <s v="Noorsootöö koordineerimine"/>
    <x v="10"/>
    <x v="2"/>
    <x v="10"/>
    <s v=""/>
    <s v=""/>
    <x v="4"/>
    <x v="8"/>
    <m/>
    <m/>
    <n v="100"/>
  </r>
  <r>
    <x v="65"/>
    <n v="3924"/>
    <x v="3"/>
    <x v="2"/>
    <s v="Töötajate töötasud"/>
    <s v="2"/>
    <x v="1"/>
    <m/>
    <m/>
    <s v="217"/>
    <s v="Noorsootöö koordineerimine"/>
    <x v="10"/>
    <x v="2"/>
    <x v="10"/>
    <s v=""/>
    <s v=""/>
    <x v="3"/>
    <x v="8"/>
    <m/>
    <m/>
    <n v="3924"/>
  </r>
  <r>
    <x v="66"/>
    <n v="792"/>
    <x v="14"/>
    <x v="3"/>
    <s v="Isikliku sõiduauto kompensatsioon"/>
    <s v="2"/>
    <x v="1"/>
    <m/>
    <m/>
    <s v="51"/>
    <s v="Laekvere Raamatukogu"/>
    <x v="11"/>
    <x v="2"/>
    <x v="11"/>
    <s v=""/>
    <s v=""/>
    <x v="4"/>
    <x v="5"/>
    <m/>
    <m/>
    <n v="792"/>
  </r>
  <r>
    <x v="4"/>
    <n v="6903.31"/>
    <x v="4"/>
    <x v="2"/>
    <s v="Tööjõukuludega kaasnevad maksud ja sotsiaalkindlustusmaksed"/>
    <s v="2"/>
    <x v="1"/>
    <m/>
    <m/>
    <s v="51"/>
    <s v="Laekvere Raamatukogu"/>
    <x v="11"/>
    <x v="2"/>
    <x v="11"/>
    <s v=""/>
    <s v=""/>
    <x v="3"/>
    <x v="5"/>
    <m/>
    <m/>
    <n v="6903.31"/>
  </r>
  <r>
    <x v="33"/>
    <n v="8832"/>
    <x v="3"/>
    <x v="2"/>
    <s v="Töötajate töötasud"/>
    <s v="2"/>
    <x v="1"/>
    <m/>
    <m/>
    <s v="51"/>
    <s v="Laekvere Raamatukogu"/>
    <x v="11"/>
    <x v="2"/>
    <x v="11"/>
    <s v=""/>
    <s v=""/>
    <x v="3"/>
    <x v="5"/>
    <m/>
    <m/>
    <n v="8832"/>
  </r>
  <r>
    <x v="13"/>
    <n v="11592"/>
    <x v="3"/>
    <x v="2"/>
    <s v="Töötajate töötasud"/>
    <s v="2"/>
    <x v="1"/>
    <m/>
    <m/>
    <s v="51"/>
    <s v="Laekvere Raamatukogu"/>
    <x v="11"/>
    <x v="2"/>
    <x v="11"/>
    <s v=""/>
    <s v=""/>
    <x v="3"/>
    <x v="5"/>
    <m/>
    <m/>
    <n v="11592"/>
  </r>
  <r>
    <x v="67"/>
    <n v="1039.44"/>
    <x v="10"/>
    <x v="3"/>
    <s v="Info- ja kommunikatsioonitehnoloogia kulud"/>
    <s v="2"/>
    <x v="1"/>
    <m/>
    <m/>
    <s v="51"/>
    <s v="Laekvere Raamatukogu"/>
    <x v="11"/>
    <x v="2"/>
    <x v="11"/>
    <s v=""/>
    <s v=""/>
    <x v="4"/>
    <x v="5"/>
    <m/>
    <m/>
    <n v="1039.44"/>
  </r>
  <r>
    <x v="15"/>
    <n v="720.12"/>
    <x v="10"/>
    <x v="3"/>
    <s v="Info- ja kommunikatsioonitehnoloogia kulud"/>
    <s v="2"/>
    <x v="1"/>
    <m/>
    <m/>
    <s v="51"/>
    <s v="Laekvere Raamatukogu"/>
    <x v="11"/>
    <x v="2"/>
    <x v="11"/>
    <s v=""/>
    <s v=""/>
    <x v="4"/>
    <x v="5"/>
    <m/>
    <m/>
    <n v="720.12"/>
  </r>
  <r>
    <x v="14"/>
    <n v="100"/>
    <x v="9"/>
    <x v="3"/>
    <s v="Administreerimiskulud"/>
    <s v="2"/>
    <x v="1"/>
    <m/>
    <m/>
    <s v="51"/>
    <s v="Laekvere Raamatukogu"/>
    <x v="11"/>
    <x v="2"/>
    <x v="11"/>
    <s v=""/>
    <s v=""/>
    <x v="4"/>
    <x v="5"/>
    <m/>
    <m/>
    <n v="100"/>
  </r>
  <r>
    <x v="68"/>
    <n v="3945"/>
    <x v="3"/>
    <x v="2"/>
    <s v="Töötajate töötasud"/>
    <s v="2"/>
    <x v="1"/>
    <m/>
    <m/>
    <s v="34"/>
    <s v="Laekvere Lasteaed"/>
    <x v="1"/>
    <x v="1"/>
    <x v="1"/>
    <s v=""/>
    <s v=""/>
    <x v="3"/>
    <x v="1"/>
    <m/>
    <m/>
    <n v="3945"/>
  </r>
  <r>
    <x v="69"/>
    <n v="9213.8799999999992"/>
    <x v="16"/>
    <x v="3"/>
    <s v="Toiduained ja toitlustusteenused"/>
    <s v="2"/>
    <x v="1"/>
    <m/>
    <m/>
    <s v="34"/>
    <s v="Laekvere Lasteaed"/>
    <x v="1"/>
    <x v="1"/>
    <x v="1"/>
    <s v=""/>
    <s v=""/>
    <x v="4"/>
    <x v="1"/>
    <m/>
    <m/>
    <n v="9213.8799999999992"/>
  </r>
  <r>
    <x v="70"/>
    <n v="25272"/>
    <x v="3"/>
    <x v="2"/>
    <s v="Töötajate töötasud"/>
    <s v="2"/>
    <x v="1"/>
    <m/>
    <m/>
    <s v="34"/>
    <s v="Laekvere Lasteaed"/>
    <x v="1"/>
    <x v="1"/>
    <x v="1"/>
    <m/>
    <m/>
    <x v="3"/>
    <x v="1"/>
    <m/>
    <m/>
    <n v="25272"/>
  </r>
  <r>
    <x v="71"/>
    <n v="91512"/>
    <x v="3"/>
    <x v="2"/>
    <s v="Töötajate töötasud"/>
    <s v="2"/>
    <x v="1"/>
    <m/>
    <m/>
    <s v="34"/>
    <s v="Laekvere Lasteaed"/>
    <x v="1"/>
    <x v="1"/>
    <x v="1"/>
    <s v=""/>
    <s v=""/>
    <x v="3"/>
    <x v="1"/>
    <m/>
    <m/>
    <n v="91512"/>
  </r>
  <r>
    <x v="4"/>
    <n v="48846.41"/>
    <x v="4"/>
    <x v="2"/>
    <s v="Tööjõukuludega kaasnevad maksud ja sotsiaalkindlustusmaksed"/>
    <s v="2"/>
    <x v="1"/>
    <m/>
    <m/>
    <s v="34"/>
    <s v="Laekvere Lasteaed"/>
    <x v="1"/>
    <x v="1"/>
    <x v="1"/>
    <s v=""/>
    <s v=""/>
    <x v="3"/>
    <x v="1"/>
    <m/>
    <m/>
    <n v="48846.41"/>
  </r>
  <r>
    <x v="72"/>
    <n v="3813"/>
    <x v="3"/>
    <x v="2"/>
    <s v="Töötajate töötasud"/>
    <s v="2"/>
    <x v="1"/>
    <m/>
    <m/>
    <s v="34"/>
    <s v="Laekvere Lasteaed"/>
    <x v="1"/>
    <x v="1"/>
    <x v="1"/>
    <s v=""/>
    <s v=""/>
    <x v="3"/>
    <x v="1"/>
    <m/>
    <m/>
    <n v="3813"/>
  </r>
  <r>
    <x v="73"/>
    <n v="4236"/>
    <x v="3"/>
    <x v="2"/>
    <s v="Töötajate töötasud"/>
    <s v="2"/>
    <x v="1"/>
    <m/>
    <m/>
    <s v="34"/>
    <s v="Laekvere Lasteaed"/>
    <x v="1"/>
    <x v="1"/>
    <x v="1"/>
    <s v=""/>
    <s v=""/>
    <x v="3"/>
    <x v="1"/>
    <m/>
    <m/>
    <n v="4236"/>
  </r>
  <r>
    <x v="74"/>
    <n v="7848"/>
    <x v="3"/>
    <x v="2"/>
    <s v="Töötajate töötasud"/>
    <s v="2"/>
    <x v="1"/>
    <m/>
    <m/>
    <s v="34"/>
    <s v="Laekvere Lasteaed"/>
    <x v="1"/>
    <x v="1"/>
    <x v="1"/>
    <s v=""/>
    <s v=""/>
    <x v="3"/>
    <x v="1"/>
    <m/>
    <m/>
    <n v="7848"/>
  </r>
  <r>
    <x v="75"/>
    <n v="7890"/>
    <x v="3"/>
    <x v="2"/>
    <s v="Töötajate töötasud"/>
    <s v="2"/>
    <x v="1"/>
    <m/>
    <m/>
    <s v="34"/>
    <s v="Laekvere Lasteaed"/>
    <x v="1"/>
    <x v="1"/>
    <x v="1"/>
    <s v=""/>
    <s v=""/>
    <x v="3"/>
    <x v="1"/>
    <m/>
    <m/>
    <n v="7890"/>
  </r>
  <r>
    <x v="7"/>
    <n v="1740"/>
    <x v="7"/>
    <x v="3"/>
    <s v="Vesi ja kanalisatsioon"/>
    <s v="2"/>
    <x v="1"/>
    <m/>
    <m/>
    <s v="34"/>
    <s v="Laekvere Lasteaed"/>
    <x v="1"/>
    <x v="1"/>
    <x v="1"/>
    <s v=""/>
    <s v=""/>
    <x v="4"/>
    <x v="1"/>
    <m/>
    <m/>
    <n v="1740"/>
  </r>
  <r>
    <x v="76"/>
    <n v="345.6"/>
    <x v="8"/>
    <x v="3"/>
    <s v="Kinnistute, hoonete ja ruumide majandamiskulud"/>
    <s v="2"/>
    <x v="1"/>
    <m/>
    <m/>
    <s v="34"/>
    <s v="Laekvere Lasteaed"/>
    <x v="1"/>
    <x v="1"/>
    <x v="1"/>
    <s v=""/>
    <s v=""/>
    <x v="4"/>
    <x v="1"/>
    <m/>
    <m/>
    <n v="345.6"/>
  </r>
  <r>
    <x v="48"/>
    <n v="14520"/>
    <x v="5"/>
    <x v="3"/>
    <s v="Küte ja soojusenergia"/>
    <s v="2"/>
    <x v="1"/>
    <m/>
    <m/>
    <s v="34"/>
    <s v="Laekvere Lasteaed"/>
    <x v="1"/>
    <x v="1"/>
    <x v="1"/>
    <s v=""/>
    <s v=""/>
    <x v="4"/>
    <x v="1"/>
    <m/>
    <m/>
    <n v="14520"/>
  </r>
  <r>
    <x v="6"/>
    <n v="4200"/>
    <x v="6"/>
    <x v="3"/>
    <s v="Elekter"/>
    <s v="2"/>
    <x v="1"/>
    <m/>
    <m/>
    <s v="34"/>
    <s v="Laekvere Lasteaed"/>
    <x v="1"/>
    <x v="1"/>
    <x v="1"/>
    <s v=""/>
    <s v=""/>
    <x v="4"/>
    <x v="1"/>
    <m/>
    <m/>
    <n v="4200"/>
  </r>
  <r>
    <x v="77"/>
    <n v="377.88"/>
    <x v="10"/>
    <x v="3"/>
    <s v="Info- ja kommunikatsioonitehnoloogia kulud"/>
    <s v="2"/>
    <x v="1"/>
    <m/>
    <m/>
    <s v="34"/>
    <s v="Laekvere Lasteaed"/>
    <x v="1"/>
    <x v="1"/>
    <x v="1"/>
    <s v=""/>
    <s v=""/>
    <x v="4"/>
    <x v="1"/>
    <m/>
    <m/>
    <n v="377.88"/>
  </r>
  <r>
    <x v="78"/>
    <n v="221.64"/>
    <x v="8"/>
    <x v="3"/>
    <s v="Kinnistute, hoonete ja ruumide majandamiskulud"/>
    <s v="2"/>
    <x v="1"/>
    <m/>
    <m/>
    <s v="34"/>
    <s v="Laekvere Lasteaed"/>
    <x v="1"/>
    <x v="1"/>
    <x v="1"/>
    <s v=""/>
    <s v=""/>
    <x v="4"/>
    <x v="1"/>
    <m/>
    <m/>
    <n v="221.64"/>
  </r>
  <r>
    <x v="9"/>
    <n v="324"/>
    <x v="8"/>
    <x v="3"/>
    <s v="Kinnistute, hoonete ja ruumide majandamiskulud"/>
    <s v="2"/>
    <x v="1"/>
    <m/>
    <m/>
    <s v="34"/>
    <s v="Laekvere Lasteaed"/>
    <x v="1"/>
    <x v="1"/>
    <x v="1"/>
    <s v=""/>
    <s v=""/>
    <x v="4"/>
    <x v="1"/>
    <m/>
    <m/>
    <n v="324"/>
  </r>
  <r>
    <x v="56"/>
    <n v="105.04"/>
    <x v="8"/>
    <x v="3"/>
    <s v="Kinnistute, hoonete ja ruumide majandamiskulud"/>
    <s v="2"/>
    <x v="1"/>
    <m/>
    <m/>
    <s v="34"/>
    <s v="Laekvere Lasteaed"/>
    <x v="1"/>
    <x v="1"/>
    <x v="1"/>
    <s v=""/>
    <s v=""/>
    <x v="4"/>
    <x v="1"/>
    <m/>
    <m/>
    <n v="105.04"/>
  </r>
  <r>
    <x v="79"/>
    <n v="500"/>
    <x v="8"/>
    <x v="3"/>
    <s v="Kinnistute, hoonete ja ruumide majandamiskulud"/>
    <s v="2"/>
    <x v="1"/>
    <m/>
    <m/>
    <s v="280"/>
    <s v="Roela, Tudu, Viru-Jaagupi teeninduspiirkond"/>
    <x v="12"/>
    <x v="0"/>
    <x v="12"/>
    <s v=""/>
    <s v=""/>
    <x v="4"/>
    <x v="3"/>
    <m/>
    <m/>
    <n v="500"/>
  </r>
  <r>
    <x v="4"/>
    <n v="3423.26"/>
    <x v="4"/>
    <x v="2"/>
    <s v="Tööjõukuludega kaasnevad maksud ja sotsiaalkindlustusmaksed"/>
    <s v="2"/>
    <x v="1"/>
    <m/>
    <m/>
    <s v="280"/>
    <s v="Roela, Tudu, Viru-Jaagupi teeninduspiirkond"/>
    <x v="12"/>
    <x v="0"/>
    <x v="12"/>
    <s v=""/>
    <s v=""/>
    <x v="3"/>
    <x v="3"/>
    <m/>
    <m/>
    <n v="3423.26"/>
  </r>
  <r>
    <x v="80"/>
    <n v="2556.48"/>
    <x v="8"/>
    <x v="3"/>
    <s v="Kinnistute, hoonete ja ruumide majandamiskulud"/>
    <s v="2"/>
    <x v="1"/>
    <m/>
    <m/>
    <s v="280"/>
    <s v="Roela, Tudu, Viru-Jaagupi teeninduspiirkond"/>
    <x v="12"/>
    <x v="0"/>
    <x v="12"/>
    <s v=""/>
    <s v=""/>
    <x v="4"/>
    <x v="3"/>
    <m/>
    <m/>
    <n v="2556.48"/>
  </r>
  <r>
    <x v="81"/>
    <n v="650"/>
    <x v="8"/>
    <x v="3"/>
    <s v="Kinnistute, hoonete ja ruumide majandamiskulud"/>
    <s v="2"/>
    <x v="1"/>
    <m/>
    <m/>
    <s v="280"/>
    <s v="Roela, Tudu, Viru-Jaagupi teeninduspiirkond"/>
    <x v="12"/>
    <x v="0"/>
    <x v="12"/>
    <s v=""/>
    <s v=""/>
    <x v="4"/>
    <x v="3"/>
    <m/>
    <m/>
    <n v="650"/>
  </r>
  <r>
    <x v="9"/>
    <n v="102"/>
    <x v="8"/>
    <x v="3"/>
    <s v="Kinnistute, hoonete ja ruumide majandamiskulud"/>
    <s v="2"/>
    <x v="1"/>
    <m/>
    <m/>
    <s v="280"/>
    <s v="Roela, Tudu, Viru-Jaagupi teeninduspiirkond"/>
    <x v="12"/>
    <x v="0"/>
    <x v="12"/>
    <s v=""/>
    <s v=""/>
    <x v="4"/>
    <x v="3"/>
    <m/>
    <m/>
    <n v="102"/>
  </r>
  <r>
    <x v="53"/>
    <n v="420"/>
    <x v="8"/>
    <x v="3"/>
    <s v="Kinnistute, hoonete ja ruumide majandamiskulud"/>
    <s v="2"/>
    <x v="1"/>
    <m/>
    <m/>
    <s v="280"/>
    <s v="Roela, Tudu, Viru-Jaagupi teeninduspiirkond"/>
    <x v="12"/>
    <x v="0"/>
    <x v="12"/>
    <s v=""/>
    <s v=""/>
    <x v="4"/>
    <x v="3"/>
    <m/>
    <m/>
    <n v="420"/>
  </r>
  <r>
    <x v="8"/>
    <n v="2340"/>
    <x v="8"/>
    <x v="3"/>
    <s v="Kinnistute, hoonete ja ruumide majandamiskulud"/>
    <s v="2"/>
    <x v="1"/>
    <m/>
    <m/>
    <s v="280"/>
    <s v="Roela, Tudu, Viru-Jaagupi teeninduspiirkond"/>
    <x v="12"/>
    <x v="0"/>
    <x v="12"/>
    <s v=""/>
    <s v=""/>
    <x v="4"/>
    <x v="3"/>
    <m/>
    <m/>
    <n v="2340"/>
  </r>
  <r>
    <x v="6"/>
    <n v="100"/>
    <x v="6"/>
    <x v="3"/>
    <s v="Elekter"/>
    <s v="2"/>
    <x v="1"/>
    <m/>
    <m/>
    <s v="280"/>
    <s v="Roela, Tudu, Viru-Jaagupi teeninduspiirkond"/>
    <x v="12"/>
    <x v="0"/>
    <x v="12"/>
    <s v=""/>
    <s v=""/>
    <x v="4"/>
    <x v="3"/>
    <m/>
    <m/>
    <n v="100"/>
  </r>
  <r>
    <x v="82"/>
    <n v="3924"/>
    <x v="3"/>
    <x v="2"/>
    <s v="Töötajate töötasud"/>
    <s v="2"/>
    <x v="1"/>
    <m/>
    <m/>
    <s v="280"/>
    <s v="Roela, Tudu, Viru-Jaagupi teeninduspiirkond"/>
    <x v="12"/>
    <x v="0"/>
    <x v="12"/>
    <s v=""/>
    <s v=""/>
    <x v="3"/>
    <x v="3"/>
    <m/>
    <m/>
    <n v="3924"/>
  </r>
  <r>
    <x v="83"/>
    <n v="769.08"/>
    <x v="10"/>
    <x v="3"/>
    <s v="Info- ja kommunikatsioonitehnoloogia kulud"/>
    <s v="2"/>
    <x v="1"/>
    <m/>
    <m/>
    <s v="280"/>
    <s v="Roela, Tudu, Viru-Jaagupi teeninduspiirkond"/>
    <x v="12"/>
    <x v="0"/>
    <x v="12"/>
    <s v=""/>
    <s v=""/>
    <x v="4"/>
    <x v="3"/>
    <m/>
    <m/>
    <n v="769.08"/>
  </r>
  <r>
    <x v="84"/>
    <n v="1000"/>
    <x v="8"/>
    <x v="3"/>
    <s v="Kinnistute, hoonete ja ruumide majandamiskulud"/>
    <s v="2"/>
    <x v="1"/>
    <m/>
    <m/>
    <s v="280"/>
    <s v="Roela, Tudu, Viru-Jaagupi teeninduspiirkond"/>
    <x v="12"/>
    <x v="0"/>
    <x v="12"/>
    <s v=""/>
    <s v=""/>
    <x v="4"/>
    <x v="3"/>
    <m/>
    <m/>
    <n v="1000"/>
  </r>
  <r>
    <x v="82"/>
    <n v="2280"/>
    <x v="3"/>
    <x v="2"/>
    <s v="Töötajate töötasud"/>
    <s v="2"/>
    <x v="1"/>
    <m/>
    <m/>
    <s v="280"/>
    <s v="Roela, Tudu, Viru-Jaagupi teeninduspiirkond"/>
    <x v="12"/>
    <x v="0"/>
    <x v="12"/>
    <s v=""/>
    <s v=""/>
    <x v="3"/>
    <x v="3"/>
    <m/>
    <m/>
    <n v="2280"/>
  </r>
  <r>
    <x v="82"/>
    <n v="3924"/>
    <x v="3"/>
    <x v="2"/>
    <s v="Töötajate töötasud"/>
    <s v="2"/>
    <x v="1"/>
    <m/>
    <m/>
    <s v="280"/>
    <s v="Roela, Tudu, Viru-Jaagupi teeninduspiirkond"/>
    <x v="12"/>
    <x v="0"/>
    <x v="12"/>
    <s v=""/>
    <s v=""/>
    <x v="3"/>
    <x v="3"/>
    <m/>
    <m/>
    <n v="3924"/>
  </r>
  <r>
    <x v="85"/>
    <n v="2400"/>
    <x v="2"/>
    <x v="1"/>
    <s v="Antud sihtfinantseerimine tegevuskuludeks"/>
    <s v="2"/>
    <x v="1"/>
    <m/>
    <m/>
    <s v="280"/>
    <s v="Roela, Tudu, Viru-Jaagupi teeninduspiirkond"/>
    <x v="12"/>
    <x v="0"/>
    <x v="12"/>
    <s v=""/>
    <s v=""/>
    <x v="2"/>
    <x v="3"/>
    <m/>
    <m/>
    <n v="2400"/>
  </r>
  <r>
    <x v="86"/>
    <n v="21302"/>
    <x v="15"/>
    <x v="3"/>
    <s v="Õppevahendite ja koolituse kulud"/>
    <s v="2"/>
    <x v="1"/>
    <m/>
    <m/>
    <s v="25"/>
    <s v="Haridusteenistus"/>
    <x v="13"/>
    <x v="1"/>
    <x v="13"/>
    <s v=""/>
    <s v=""/>
    <x v="4"/>
    <x v="9"/>
    <m/>
    <m/>
    <n v="21302"/>
  </r>
  <r>
    <x v="4"/>
    <n v="27458.84"/>
    <x v="4"/>
    <x v="2"/>
    <s v="Tööjõukuludega kaasnevad maksud ja sotsiaalkindlustusmaksed"/>
    <s v="2"/>
    <x v="1"/>
    <m/>
    <m/>
    <s v="25"/>
    <s v="Haridusteenistus"/>
    <x v="13"/>
    <x v="1"/>
    <x v="13"/>
    <s v=""/>
    <s v=""/>
    <x v="3"/>
    <x v="9"/>
    <m/>
    <m/>
    <n v="27458.84"/>
  </r>
  <r>
    <x v="87"/>
    <n v="81239.16"/>
    <x v="3"/>
    <x v="2"/>
    <s v="Töötajate töötasud"/>
    <s v="2"/>
    <x v="1"/>
    <m/>
    <m/>
    <s v="25"/>
    <s v="Haridusteenistus"/>
    <x v="13"/>
    <x v="1"/>
    <x v="13"/>
    <s v=""/>
    <s v=""/>
    <x v="3"/>
    <x v="9"/>
    <m/>
    <m/>
    <n v="81239.16"/>
  </r>
  <r>
    <x v="88"/>
    <n v="2160"/>
    <x v="17"/>
    <x v="2"/>
    <s v="Töötasud võlaõiguslike lepingute alusel"/>
    <s v="2"/>
    <x v="1"/>
    <m/>
    <m/>
    <s v="24"/>
    <s v="Sotsiaalteenistus"/>
    <x v="14"/>
    <x v="4"/>
    <x v="14"/>
    <s v=""/>
    <s v=""/>
    <x v="3"/>
    <x v="10"/>
    <m/>
    <m/>
    <n v="2160"/>
  </r>
  <r>
    <x v="4"/>
    <n v="9491.0400000000009"/>
    <x v="4"/>
    <x v="2"/>
    <s v="Tööjõukuludega kaasnevad maksud ja sotsiaalkindlustusmaksed"/>
    <s v="2"/>
    <x v="1"/>
    <m/>
    <m/>
    <s v="24"/>
    <s v="Sotsiaalteenistus"/>
    <x v="14"/>
    <x v="4"/>
    <x v="14"/>
    <s v=""/>
    <s v=""/>
    <x v="3"/>
    <x v="10"/>
    <m/>
    <m/>
    <n v="9491.0400000000009"/>
  </r>
  <r>
    <x v="89"/>
    <n v="8400"/>
    <x v="3"/>
    <x v="2"/>
    <s v="Töötajate töötasud"/>
    <s v="2"/>
    <x v="1"/>
    <m/>
    <m/>
    <s v="24"/>
    <s v="Sotsiaalteenistus"/>
    <x v="14"/>
    <x v="4"/>
    <x v="14"/>
    <s v=""/>
    <s v=""/>
    <x v="3"/>
    <x v="10"/>
    <m/>
    <m/>
    <n v="8400"/>
  </r>
  <r>
    <x v="90"/>
    <n v="7920"/>
    <x v="3"/>
    <x v="2"/>
    <s v="Töötajate töötasud"/>
    <s v="2"/>
    <x v="1"/>
    <m/>
    <m/>
    <s v="24"/>
    <s v="Sotsiaalteenistus"/>
    <x v="14"/>
    <x v="4"/>
    <x v="14"/>
    <s v=""/>
    <s v=""/>
    <x v="3"/>
    <x v="10"/>
    <m/>
    <m/>
    <n v="7920"/>
  </r>
  <r>
    <x v="91"/>
    <n v="9600"/>
    <x v="3"/>
    <x v="2"/>
    <s v="Töötajate töötasud"/>
    <s v="2"/>
    <x v="1"/>
    <m/>
    <m/>
    <s v="24"/>
    <s v="Sotsiaalteenistus"/>
    <x v="14"/>
    <x v="4"/>
    <x v="14"/>
    <s v=""/>
    <s v=""/>
    <x v="3"/>
    <x v="10"/>
    <m/>
    <m/>
    <n v="9600"/>
  </r>
  <r>
    <x v="92"/>
    <n v="18636"/>
    <x v="15"/>
    <x v="3"/>
    <s v="Õppevahendite ja koolituse kulud"/>
    <s v="2"/>
    <x v="1"/>
    <m/>
    <m/>
    <s v="25"/>
    <s v="Haridusteenistus"/>
    <x v="15"/>
    <x v="1"/>
    <x v="15"/>
    <s v=""/>
    <s v=""/>
    <x v="4"/>
    <x v="6"/>
    <m/>
    <m/>
    <n v="18636"/>
  </r>
  <r>
    <x v="93"/>
    <n v="350"/>
    <x v="2"/>
    <x v="1"/>
    <s v="Antud sihtfinantseerimine tegevuskuludeks"/>
    <s v="2"/>
    <x v="1"/>
    <m/>
    <m/>
    <s v="24"/>
    <s v="Sotsiaalteenistus"/>
    <x v="16"/>
    <x v="4"/>
    <x v="16"/>
    <s v=""/>
    <s v=""/>
    <x v="2"/>
    <x v="11"/>
    <m/>
    <m/>
    <n v="350"/>
  </r>
  <r>
    <x v="94"/>
    <n v="250"/>
    <x v="2"/>
    <x v="1"/>
    <s v="Antud sihtfinantseerimine tegevuskuludeks"/>
    <s v="2"/>
    <x v="1"/>
    <m/>
    <m/>
    <s v="24"/>
    <s v="Sotsiaalteenistus"/>
    <x v="16"/>
    <x v="4"/>
    <x v="16"/>
    <s v=""/>
    <s v=""/>
    <x v="2"/>
    <x v="11"/>
    <m/>
    <m/>
    <n v="250"/>
  </r>
  <r>
    <x v="95"/>
    <n v="700"/>
    <x v="2"/>
    <x v="1"/>
    <s v="Antud sihtfinantseerimine tegevuskuludeks"/>
    <s v="2"/>
    <x v="1"/>
    <m/>
    <m/>
    <s v="24"/>
    <s v="Sotsiaalteenistus"/>
    <x v="16"/>
    <x v="4"/>
    <x v="16"/>
    <s v=""/>
    <s v=""/>
    <x v="2"/>
    <x v="11"/>
    <m/>
    <m/>
    <n v="700"/>
  </r>
  <r>
    <x v="96"/>
    <n v="7000"/>
    <x v="2"/>
    <x v="1"/>
    <s v="Antud sihtfinantseerimine tegevuskuludeks"/>
    <s v="2"/>
    <x v="1"/>
    <m/>
    <m/>
    <s v="24"/>
    <s v="Sotsiaalteenistus"/>
    <x v="16"/>
    <x v="4"/>
    <x v="16"/>
    <s v=""/>
    <s v=""/>
    <x v="2"/>
    <x v="11"/>
    <m/>
    <m/>
    <n v="7000"/>
  </r>
  <r>
    <x v="4"/>
    <n v="100994.4"/>
    <x v="4"/>
    <x v="2"/>
    <s v="Tööjõukuludega kaasnevad maksud ja sotsiaalkindlustusmaksed"/>
    <s v="2"/>
    <x v="1"/>
    <m/>
    <m/>
    <s v="23"/>
    <s v="Finantsteenistus"/>
    <x v="17"/>
    <x v="5"/>
    <x v="17"/>
    <s v=""/>
    <s v=""/>
    <x v="3"/>
    <x v="12"/>
    <m/>
    <m/>
    <n v="100994.4"/>
  </r>
  <r>
    <x v="97"/>
    <n v="1000"/>
    <x v="18"/>
    <x v="4"/>
    <s v="MAKSU-, LÕIVU-, TRAHVIKULUD"/>
    <s v="2"/>
    <x v="1"/>
    <m/>
    <m/>
    <s v="2"/>
    <s v="Valla- ja linnavalitsus"/>
    <x v="17"/>
    <x v="5"/>
    <x v="17"/>
    <s v=""/>
    <s v=""/>
    <x v="5"/>
    <x v="12"/>
    <m/>
    <m/>
    <n v="1000"/>
  </r>
  <r>
    <x v="98"/>
    <n v="25000"/>
    <x v="1"/>
    <x v="0"/>
    <s v="Hooned ja rajatised"/>
    <s v="4"/>
    <x v="0"/>
    <m/>
    <m/>
    <s v="2"/>
    <s v="Valla- ja linnavalitsus"/>
    <x v="17"/>
    <x v="5"/>
    <x v="17"/>
    <s v=""/>
    <s v=""/>
    <x v="1"/>
    <x v="12"/>
    <m/>
    <m/>
    <n v="25000"/>
  </r>
  <r>
    <x v="99"/>
    <n v="100000"/>
    <x v="1"/>
    <x v="0"/>
    <s v="Hooned ja rajatised"/>
    <s v="4"/>
    <x v="0"/>
    <m/>
    <m/>
    <s v="2"/>
    <s v="Valla- ja linnavalitsus"/>
    <x v="17"/>
    <x v="5"/>
    <x v="17"/>
    <s v=""/>
    <s v=""/>
    <x v="1"/>
    <x v="12"/>
    <m/>
    <m/>
    <n v="100000"/>
  </r>
  <r>
    <x v="100"/>
    <n v="30000"/>
    <x v="1"/>
    <x v="0"/>
    <s v="Hooned ja rajatised"/>
    <s v="4"/>
    <x v="0"/>
    <m/>
    <m/>
    <s v="2"/>
    <s v="Valla- ja linnavalitsus"/>
    <x v="17"/>
    <x v="5"/>
    <x v="17"/>
    <s v=""/>
    <s v=""/>
    <x v="1"/>
    <x v="12"/>
    <m/>
    <m/>
    <n v="30000"/>
  </r>
  <r>
    <x v="101"/>
    <n v="120"/>
    <x v="19"/>
    <x v="1"/>
    <s v="Liikmemaksud"/>
    <s v="2"/>
    <x v="1"/>
    <m/>
    <m/>
    <s v="23"/>
    <s v="Finantsteenistus"/>
    <x v="17"/>
    <x v="5"/>
    <x v="17"/>
    <s v=""/>
    <s v=""/>
    <x v="6"/>
    <x v="12"/>
    <m/>
    <m/>
    <n v="120"/>
  </r>
  <r>
    <x v="102"/>
    <n v="90"/>
    <x v="19"/>
    <x v="1"/>
    <s v="Liikmemaksud"/>
    <s v="2"/>
    <x v="1"/>
    <m/>
    <m/>
    <s v="23"/>
    <s v="Finantsteenistus"/>
    <x v="17"/>
    <x v="5"/>
    <x v="17"/>
    <s v=""/>
    <s v=""/>
    <x v="6"/>
    <x v="12"/>
    <m/>
    <m/>
    <n v="90"/>
  </r>
  <r>
    <x v="103"/>
    <n v="42000"/>
    <x v="20"/>
    <x v="2"/>
    <s v="Valitavate ametnike ja kõrgemate riigiteenijate töötasu"/>
    <s v="2"/>
    <x v="1"/>
    <m/>
    <m/>
    <s v="2"/>
    <s v="Valla- ja linnavalitsus"/>
    <x v="17"/>
    <x v="5"/>
    <x v="17"/>
    <s v=""/>
    <s v=""/>
    <x v="3"/>
    <x v="12"/>
    <m/>
    <m/>
    <n v="42000"/>
  </r>
  <r>
    <x v="104"/>
    <n v="1320"/>
    <x v="20"/>
    <x v="2"/>
    <s v="Valitavate ametnike ja kõrgemate riigiteenijate töötasu"/>
    <s v="2"/>
    <x v="1"/>
    <m/>
    <m/>
    <s v="2"/>
    <s v="Valla- ja linnavalitsus"/>
    <x v="17"/>
    <x v="5"/>
    <x v="17"/>
    <s v=""/>
    <s v=""/>
    <x v="3"/>
    <x v="12"/>
    <m/>
    <m/>
    <n v="1320"/>
  </r>
  <r>
    <x v="105"/>
    <n v="1320"/>
    <x v="20"/>
    <x v="2"/>
    <s v="Valitavate ametnike ja kõrgemate riigiteenijate töötasu"/>
    <s v="2"/>
    <x v="1"/>
    <m/>
    <m/>
    <s v="2"/>
    <s v="Valla- ja linnavalitsus"/>
    <x v="17"/>
    <x v="5"/>
    <x v="17"/>
    <s v=""/>
    <s v=""/>
    <x v="3"/>
    <x v="12"/>
    <m/>
    <m/>
    <n v="1320"/>
  </r>
  <r>
    <x v="106"/>
    <n v="1320"/>
    <x v="20"/>
    <x v="2"/>
    <s v="Valitavate ametnike ja kõrgemate riigiteenijate töötasu"/>
    <s v="2"/>
    <x v="1"/>
    <m/>
    <m/>
    <s v="2"/>
    <s v="Valla- ja linnavalitsus"/>
    <x v="17"/>
    <x v="5"/>
    <x v="17"/>
    <s v=""/>
    <s v=""/>
    <x v="3"/>
    <x v="12"/>
    <m/>
    <m/>
    <n v="1320"/>
  </r>
  <r>
    <x v="107"/>
    <n v="26400"/>
    <x v="21"/>
    <x v="2"/>
    <s v=" Avaliku teenistuse ametnike töötasu"/>
    <s v="2"/>
    <x v="1"/>
    <m/>
    <m/>
    <s v="23"/>
    <s v="Finantsteenistus"/>
    <x v="17"/>
    <x v="5"/>
    <x v="17"/>
    <s v=""/>
    <s v=""/>
    <x v="3"/>
    <x v="12"/>
    <m/>
    <m/>
    <n v="26400"/>
  </r>
  <r>
    <x v="108"/>
    <n v="69600"/>
    <x v="21"/>
    <x v="2"/>
    <s v=" Avaliku teenistuse ametnike töötasu"/>
    <s v="2"/>
    <x v="1"/>
    <m/>
    <m/>
    <s v="2"/>
    <s v="Valla- ja linnavalitsus"/>
    <x v="17"/>
    <x v="5"/>
    <x v="17"/>
    <s v=""/>
    <s v=""/>
    <x v="3"/>
    <x v="12"/>
    <m/>
    <m/>
    <n v="69600"/>
  </r>
  <r>
    <x v="109"/>
    <n v="27450"/>
    <x v="2"/>
    <x v="1"/>
    <s v="Antud sihtfinantseerimine tegevuskuludeks"/>
    <s v="2"/>
    <x v="1"/>
    <m/>
    <m/>
    <s v="213"/>
    <s v="Spordinõunik"/>
    <x v="18"/>
    <x v="2"/>
    <x v="18"/>
    <s v=""/>
    <s v=""/>
    <x v="2"/>
    <x v="13"/>
    <m/>
    <m/>
    <n v="27450"/>
  </r>
  <r>
    <x v="110"/>
    <n v="10000"/>
    <x v="1"/>
    <x v="0"/>
    <s v="Hooned ja rajatised"/>
    <s v="4"/>
    <x v="0"/>
    <m/>
    <m/>
    <s v="215"/>
    <s v="Ehitusnõunik"/>
    <x v="19"/>
    <x v="1"/>
    <x v="19"/>
    <s v=""/>
    <s v=""/>
    <x v="1"/>
    <x v="9"/>
    <m/>
    <m/>
    <n v="10000"/>
  </r>
  <r>
    <x v="111"/>
    <n v="3500"/>
    <x v="8"/>
    <x v="3"/>
    <s v="Kinnistute, hoonete ja ruumide majandamiskulud"/>
    <s v="2"/>
    <x v="1"/>
    <m/>
    <m/>
    <s v="280"/>
    <s v="Roela, Tudu, Viru-Jaagupi teeninduspiirkond"/>
    <x v="20"/>
    <x v="0"/>
    <x v="20"/>
    <s v=""/>
    <s v=""/>
    <x v="4"/>
    <x v="3"/>
    <m/>
    <m/>
    <n v="3500"/>
  </r>
  <r>
    <x v="112"/>
    <n v="600"/>
    <x v="8"/>
    <x v="3"/>
    <s v="Kinnistute, hoonete ja ruumide majandamiskulud"/>
    <s v="2"/>
    <x v="1"/>
    <m/>
    <m/>
    <s v="280"/>
    <s v="Roela, Tudu, Viru-Jaagupi teeninduspiirkond"/>
    <x v="20"/>
    <x v="0"/>
    <x v="20"/>
    <m/>
    <m/>
    <x v="4"/>
    <x v="3"/>
    <m/>
    <m/>
    <n v="600"/>
  </r>
  <r>
    <x v="7"/>
    <n v="900"/>
    <x v="7"/>
    <x v="3"/>
    <s v="Vesi ja kanalisatsioon"/>
    <s v="2"/>
    <x v="1"/>
    <m/>
    <m/>
    <s v="280"/>
    <s v="Roela, Tudu, Viru-Jaagupi teeninduspiirkond"/>
    <x v="20"/>
    <x v="0"/>
    <x v="20"/>
    <s v=""/>
    <s v=""/>
    <x v="4"/>
    <x v="3"/>
    <m/>
    <m/>
    <n v="900"/>
  </r>
  <r>
    <x v="6"/>
    <n v="1320"/>
    <x v="6"/>
    <x v="3"/>
    <s v="Elekter"/>
    <s v="2"/>
    <x v="1"/>
    <m/>
    <m/>
    <s v="280"/>
    <s v="Roela, Tudu, Viru-Jaagupi teeninduspiirkond"/>
    <x v="20"/>
    <x v="0"/>
    <x v="20"/>
    <s v=""/>
    <s v=""/>
    <x v="4"/>
    <x v="3"/>
    <m/>
    <m/>
    <n v="1320"/>
  </r>
  <r>
    <x v="4"/>
    <n v="3198.16"/>
    <x v="4"/>
    <x v="2"/>
    <s v="Tööjõukuludega kaasnevad maksud ja sotsiaalkindlustusmaksed"/>
    <s v="2"/>
    <x v="1"/>
    <m/>
    <m/>
    <s v="280"/>
    <s v="Roela, Tudu, Viru-Jaagupi teeninduspiirkond"/>
    <x v="20"/>
    <x v="0"/>
    <x v="20"/>
    <s v=""/>
    <s v=""/>
    <x v="3"/>
    <x v="3"/>
    <m/>
    <m/>
    <n v="3198.16"/>
  </r>
  <r>
    <x v="113"/>
    <n v="960"/>
    <x v="17"/>
    <x v="2"/>
    <s v="Töötasud võlaõiguslike lepingute alusel"/>
    <s v="2"/>
    <x v="1"/>
    <m/>
    <m/>
    <s v="280"/>
    <s v="Roela, Tudu, Viru-Jaagupi teeninduspiirkond"/>
    <x v="20"/>
    <x v="0"/>
    <x v="20"/>
    <s v=""/>
    <s v=""/>
    <x v="3"/>
    <x v="3"/>
    <m/>
    <m/>
    <n v="960"/>
  </r>
  <r>
    <x v="114"/>
    <n v="654"/>
    <x v="17"/>
    <x v="2"/>
    <s v="Töötasud võlaõiguslike lepingute alusel"/>
    <s v="2"/>
    <x v="1"/>
    <m/>
    <m/>
    <s v="280"/>
    <s v="Roela, Tudu, Viru-Jaagupi teeninduspiirkond"/>
    <x v="20"/>
    <x v="0"/>
    <x v="20"/>
    <s v=""/>
    <s v=""/>
    <x v="3"/>
    <x v="3"/>
    <m/>
    <m/>
    <n v="654"/>
  </r>
  <r>
    <x v="115"/>
    <n v="7848"/>
    <x v="3"/>
    <x v="2"/>
    <s v="Töötajate töötasud"/>
    <s v="2"/>
    <x v="1"/>
    <m/>
    <m/>
    <s v="280"/>
    <s v="Roela, Tudu, Viru-Jaagupi teeninduspiirkond"/>
    <x v="20"/>
    <x v="0"/>
    <x v="20"/>
    <s v=""/>
    <s v=""/>
    <x v="3"/>
    <x v="3"/>
    <m/>
    <m/>
    <n v="7848"/>
  </r>
  <r>
    <x v="116"/>
    <n v="480"/>
    <x v="11"/>
    <x v="3"/>
    <s v="Kütus"/>
    <s v="2"/>
    <x v="1"/>
    <m/>
    <m/>
    <s v="2"/>
    <s v="Valla- ja linnavalitsus"/>
    <x v="4"/>
    <x v="3"/>
    <x v="4"/>
    <s v=""/>
    <s v=""/>
    <x v="4"/>
    <x v="4"/>
    <m/>
    <m/>
    <n v="480"/>
  </r>
  <r>
    <x v="6"/>
    <n v="1700"/>
    <x v="6"/>
    <x v="3"/>
    <s v="Elekter"/>
    <s v="2"/>
    <x v="1"/>
    <m/>
    <m/>
    <s v="2"/>
    <s v="Valla- ja linnavalitsus"/>
    <x v="4"/>
    <x v="3"/>
    <x v="4"/>
    <s v=""/>
    <s v=""/>
    <x v="4"/>
    <x v="4"/>
    <m/>
    <m/>
    <n v="1700"/>
  </r>
  <r>
    <x v="4"/>
    <n v="1030.7"/>
    <x v="4"/>
    <x v="2"/>
    <s v="Tööjõukuludega kaasnevad maksud ja sotsiaalkindlustusmaksed"/>
    <s v="2"/>
    <x v="1"/>
    <m/>
    <m/>
    <s v="2"/>
    <s v="Valla- ja linnavalitsus"/>
    <x v="4"/>
    <x v="3"/>
    <x v="4"/>
    <s v=""/>
    <s v=""/>
    <x v="3"/>
    <x v="4"/>
    <m/>
    <m/>
    <n v="1030.7"/>
  </r>
  <r>
    <x v="117"/>
    <n v="1405.8"/>
    <x v="17"/>
    <x v="2"/>
    <s v="Töötasud võlaõiguslike lepingute alusel"/>
    <s v="2"/>
    <x v="1"/>
    <m/>
    <m/>
    <s v="2"/>
    <s v="Valla- ja linnavalitsus"/>
    <x v="4"/>
    <x v="3"/>
    <x v="4"/>
    <s v=""/>
    <s v=""/>
    <x v="3"/>
    <x v="4"/>
    <m/>
    <m/>
    <n v="1405.8"/>
  </r>
  <r>
    <x v="117"/>
    <n v="1643.6"/>
    <x v="17"/>
    <x v="2"/>
    <s v="Töötasud võlaõiguslike lepingute alusel"/>
    <s v="2"/>
    <x v="1"/>
    <m/>
    <m/>
    <s v="2"/>
    <s v="Valla- ja linnavalitsus"/>
    <x v="4"/>
    <x v="3"/>
    <x v="4"/>
    <s v=""/>
    <s v=""/>
    <x v="3"/>
    <x v="4"/>
    <m/>
    <m/>
    <n v="1643.6"/>
  </r>
  <r>
    <x v="118"/>
    <n v="100"/>
    <x v="18"/>
    <x v="4"/>
    <s v="MAKSU-, LÕIVU-, TRAHVIKULUD"/>
    <s v="2"/>
    <x v="1"/>
    <m/>
    <m/>
    <s v="22"/>
    <s v="Majandusteenistus"/>
    <x v="21"/>
    <x v="0"/>
    <x v="21"/>
    <s v=""/>
    <s v=""/>
    <x v="5"/>
    <x v="14"/>
    <m/>
    <m/>
    <n v="100"/>
  </r>
  <r>
    <x v="119"/>
    <n v="20000"/>
    <x v="22"/>
    <x v="3"/>
    <s v="Rajatiste majandamiskulud"/>
    <s v="2"/>
    <x v="1"/>
    <m/>
    <m/>
    <s v="22"/>
    <s v="Majandusteenistus"/>
    <x v="21"/>
    <x v="0"/>
    <x v="21"/>
    <s v=""/>
    <s v=""/>
    <x v="4"/>
    <x v="14"/>
    <m/>
    <m/>
    <n v="20000"/>
  </r>
  <r>
    <x v="120"/>
    <n v="31000"/>
    <x v="22"/>
    <x v="3"/>
    <s v="Rajatiste majandamiskulud"/>
    <s v="2"/>
    <x v="1"/>
    <m/>
    <m/>
    <s v="22"/>
    <s v="Majandusteenistus"/>
    <x v="21"/>
    <x v="0"/>
    <x v="21"/>
    <s v=""/>
    <s v=""/>
    <x v="4"/>
    <x v="14"/>
    <m/>
    <m/>
    <n v="31000"/>
  </r>
  <r>
    <x v="121"/>
    <n v="120000"/>
    <x v="23"/>
    <x v="3"/>
    <s v="Sotsiaalteenused"/>
    <s v="2"/>
    <x v="1"/>
    <m/>
    <m/>
    <s v="24"/>
    <s v="Sotsiaalteenistus"/>
    <x v="22"/>
    <x v="4"/>
    <x v="22"/>
    <s v=""/>
    <s v=""/>
    <x v="4"/>
    <x v="15"/>
    <m/>
    <m/>
    <n v="120000"/>
  </r>
  <r>
    <x v="122"/>
    <n v="595"/>
    <x v="24"/>
    <x v="5"/>
    <s v="Peretoetused"/>
    <s v="2"/>
    <x v="1"/>
    <m/>
    <m/>
    <s v="24"/>
    <s v="Sotsiaalteenistus"/>
    <x v="23"/>
    <x v="4"/>
    <x v="23"/>
    <m/>
    <m/>
    <x v="7"/>
    <x v="16"/>
    <m/>
    <m/>
    <n v="595"/>
  </r>
  <r>
    <x v="123"/>
    <n v="400"/>
    <x v="24"/>
    <x v="5"/>
    <s v="Peretoetused"/>
    <s v="2"/>
    <x v="1"/>
    <m/>
    <m/>
    <s v="24"/>
    <s v="Sotsiaalteenistus"/>
    <x v="23"/>
    <x v="4"/>
    <x v="23"/>
    <m/>
    <m/>
    <x v="7"/>
    <x v="16"/>
    <m/>
    <m/>
    <n v="400"/>
  </r>
  <r>
    <x v="124"/>
    <n v="40"/>
    <x v="24"/>
    <x v="5"/>
    <s v="Peretoetused"/>
    <s v="2"/>
    <x v="1"/>
    <m/>
    <m/>
    <s v="24"/>
    <s v="Sotsiaalteenistus"/>
    <x v="23"/>
    <x v="4"/>
    <x v="23"/>
    <m/>
    <m/>
    <x v="7"/>
    <x v="16"/>
    <m/>
    <m/>
    <n v="40"/>
  </r>
  <r>
    <x v="125"/>
    <n v="700"/>
    <x v="24"/>
    <x v="5"/>
    <s v="Peretoetused"/>
    <s v="2"/>
    <x v="1"/>
    <m/>
    <m/>
    <s v="24"/>
    <s v="Sotsiaalteenistus"/>
    <x v="23"/>
    <x v="4"/>
    <x v="23"/>
    <s v=""/>
    <s v=""/>
    <x v="7"/>
    <x v="16"/>
    <m/>
    <m/>
    <n v="700"/>
  </r>
  <r>
    <x v="126"/>
    <n v="850"/>
    <x v="24"/>
    <x v="5"/>
    <s v="Peretoetused"/>
    <s v="2"/>
    <x v="1"/>
    <m/>
    <m/>
    <s v="24"/>
    <s v="Sotsiaalteenistus"/>
    <x v="23"/>
    <x v="4"/>
    <x v="23"/>
    <m/>
    <m/>
    <x v="7"/>
    <x v="16"/>
    <m/>
    <m/>
    <n v="850"/>
  </r>
  <r>
    <x v="127"/>
    <n v="320"/>
    <x v="24"/>
    <x v="5"/>
    <s v="Peretoetused"/>
    <s v="2"/>
    <x v="1"/>
    <m/>
    <m/>
    <s v="24"/>
    <s v="Sotsiaalteenistus"/>
    <x v="23"/>
    <x v="4"/>
    <x v="23"/>
    <s v=""/>
    <s v=""/>
    <x v="7"/>
    <x v="16"/>
    <m/>
    <m/>
    <n v="320"/>
  </r>
  <r>
    <x v="128"/>
    <n v="595"/>
    <x v="24"/>
    <x v="5"/>
    <s v="Peretoetused"/>
    <s v="2"/>
    <x v="1"/>
    <m/>
    <m/>
    <s v="24"/>
    <s v="Sotsiaalteenistus"/>
    <x v="23"/>
    <x v="4"/>
    <x v="23"/>
    <s v=""/>
    <s v=""/>
    <x v="7"/>
    <x v="16"/>
    <m/>
    <m/>
    <n v="595"/>
  </r>
  <r>
    <x v="129"/>
    <n v="38000"/>
    <x v="24"/>
    <x v="5"/>
    <s v="Peretoetused"/>
    <s v="2"/>
    <x v="1"/>
    <m/>
    <m/>
    <s v="24"/>
    <s v="Sotsiaalteenistus"/>
    <x v="23"/>
    <x v="4"/>
    <x v="23"/>
    <s v=""/>
    <s v=""/>
    <x v="7"/>
    <x v="16"/>
    <m/>
    <m/>
    <n v="38000"/>
  </r>
  <r>
    <x v="130"/>
    <n v="4320"/>
    <x v="17"/>
    <x v="2"/>
    <s v="Töötasud võlaõiguslike lepingute alusel"/>
    <s v="2"/>
    <x v="1"/>
    <m/>
    <m/>
    <s v="24"/>
    <s v="Sotsiaalteenistus"/>
    <x v="24"/>
    <x v="4"/>
    <x v="24"/>
    <s v=""/>
    <s v=""/>
    <x v="3"/>
    <x v="16"/>
    <m/>
    <m/>
    <n v="4320"/>
  </r>
  <r>
    <x v="4"/>
    <n v="1460.16"/>
    <x v="4"/>
    <x v="2"/>
    <s v="Tööjõukuludega kaasnevad maksud ja sotsiaalkindlustusmaksed"/>
    <s v="2"/>
    <x v="1"/>
    <m/>
    <m/>
    <s v="24"/>
    <s v="Sotsiaalteenistus"/>
    <x v="24"/>
    <x v="4"/>
    <x v="24"/>
    <s v=""/>
    <s v=""/>
    <x v="3"/>
    <x v="16"/>
    <m/>
    <m/>
    <n v="1460.16"/>
  </r>
  <r>
    <x v="131"/>
    <n v="8000"/>
    <x v="25"/>
    <x v="3"/>
    <s v="Kommunikatsiooni-, kultuuri- ja vaba aja sisustamise kulud"/>
    <s v="2"/>
    <x v="1"/>
    <m/>
    <m/>
    <s v="24"/>
    <s v="Sotsiaalteenistus"/>
    <x v="25"/>
    <x v="4"/>
    <x v="25"/>
    <s v=""/>
    <s v=""/>
    <x v="4"/>
    <x v="16"/>
    <m/>
    <m/>
    <n v="8000"/>
  </r>
  <r>
    <x v="132"/>
    <n v="83207"/>
    <x v="26"/>
    <x v="5"/>
    <s v="Toimetulekutoetus ja täiendavad sotsiaaltoetused"/>
    <s v="2"/>
    <x v="1"/>
    <m/>
    <m/>
    <s v="24"/>
    <s v="Sotsiaalteenistus"/>
    <x v="26"/>
    <x v="4"/>
    <x v="26"/>
    <s v=""/>
    <s v=""/>
    <x v="7"/>
    <x v="17"/>
    <m/>
    <m/>
    <n v="83207"/>
  </r>
  <r>
    <x v="4"/>
    <n v="2397.1"/>
    <x v="4"/>
    <x v="2"/>
    <s v="Tööjõukuludega kaasnevad maksud ja sotsiaalkindlustusmaksed"/>
    <s v="2"/>
    <x v="1"/>
    <m/>
    <m/>
    <s v="54"/>
    <s v="Tudu Raamatukogu"/>
    <x v="27"/>
    <x v="2"/>
    <x v="27"/>
    <s v=""/>
    <s v=""/>
    <x v="3"/>
    <x v="5"/>
    <m/>
    <m/>
    <n v="2397.1"/>
  </r>
  <r>
    <x v="13"/>
    <n v="7092"/>
    <x v="3"/>
    <x v="2"/>
    <s v="Töötajate töötasud"/>
    <s v="2"/>
    <x v="1"/>
    <m/>
    <m/>
    <s v="54"/>
    <s v="Tudu Raamatukogu"/>
    <x v="27"/>
    <x v="2"/>
    <x v="27"/>
    <s v=""/>
    <s v=""/>
    <x v="3"/>
    <x v="5"/>
    <m/>
    <m/>
    <n v="7092"/>
  </r>
  <r>
    <x v="14"/>
    <n v="100"/>
    <x v="9"/>
    <x v="3"/>
    <s v="Administreerimiskulud"/>
    <s v="2"/>
    <x v="1"/>
    <m/>
    <m/>
    <s v="54"/>
    <s v="Tudu Raamatukogu"/>
    <x v="27"/>
    <x v="2"/>
    <x v="27"/>
    <s v=""/>
    <s v=""/>
    <x v="4"/>
    <x v="5"/>
    <m/>
    <m/>
    <n v="100"/>
  </r>
  <r>
    <x v="15"/>
    <n v="240"/>
    <x v="10"/>
    <x v="3"/>
    <s v="Info- ja kommunikatsioonitehnoloogia kulud"/>
    <s v="2"/>
    <x v="1"/>
    <m/>
    <m/>
    <s v="54"/>
    <s v="Tudu Raamatukogu"/>
    <x v="27"/>
    <x v="2"/>
    <x v="27"/>
    <s v=""/>
    <s v=""/>
    <x v="4"/>
    <x v="5"/>
    <m/>
    <m/>
    <n v="240"/>
  </r>
  <r>
    <x v="133"/>
    <n v="480"/>
    <x v="10"/>
    <x v="3"/>
    <s v="Info- ja kommunikatsioonitehnoloogia kulud"/>
    <s v="2"/>
    <x v="1"/>
    <m/>
    <m/>
    <s v="55"/>
    <s v="Ulvi Raamatukogu"/>
    <x v="28"/>
    <x v="2"/>
    <x v="28"/>
    <s v=""/>
    <s v=""/>
    <x v="4"/>
    <x v="5"/>
    <m/>
    <m/>
    <n v="480"/>
  </r>
  <r>
    <x v="61"/>
    <n v="768"/>
    <x v="14"/>
    <x v="3"/>
    <s v="Isikliku sõiduauto kompensatsioon"/>
    <s v="2"/>
    <x v="1"/>
    <m/>
    <m/>
    <s v="55"/>
    <s v="Ulvi Raamatukogu"/>
    <x v="28"/>
    <x v="2"/>
    <x v="28"/>
    <s v=""/>
    <s v=""/>
    <x v="4"/>
    <x v="5"/>
    <m/>
    <m/>
    <n v="768"/>
  </r>
  <r>
    <x v="4"/>
    <n v="4891.54"/>
    <x v="4"/>
    <x v="2"/>
    <s v="Tööjõukuludega kaasnevad maksud ja sotsiaalkindlustusmaksed"/>
    <s v="2"/>
    <x v="1"/>
    <m/>
    <m/>
    <s v="55"/>
    <s v="Ulvi Raamatukogu"/>
    <x v="28"/>
    <x v="2"/>
    <x v="28"/>
    <s v=""/>
    <s v=""/>
    <x v="3"/>
    <x v="5"/>
    <m/>
    <m/>
    <n v="4891.54"/>
  </r>
  <r>
    <x v="134"/>
    <n v="2808"/>
    <x v="3"/>
    <x v="2"/>
    <s v="Töötajate töötasud"/>
    <s v="2"/>
    <x v="1"/>
    <m/>
    <m/>
    <s v="55"/>
    <s v="Ulvi Raamatukogu"/>
    <x v="28"/>
    <x v="2"/>
    <x v="28"/>
    <s v=""/>
    <s v=""/>
    <x v="3"/>
    <x v="5"/>
    <m/>
    <m/>
    <n v="2808"/>
  </r>
  <r>
    <x v="135"/>
    <n v="11664"/>
    <x v="3"/>
    <x v="2"/>
    <s v="Töötajate töötasud"/>
    <s v="2"/>
    <x v="1"/>
    <m/>
    <m/>
    <s v="55"/>
    <s v="Ulvi Raamatukogu"/>
    <x v="28"/>
    <x v="2"/>
    <x v="28"/>
    <s v=""/>
    <s v=""/>
    <x v="3"/>
    <x v="5"/>
    <m/>
    <m/>
    <n v="11664"/>
  </r>
  <r>
    <x v="15"/>
    <n v="240"/>
    <x v="10"/>
    <x v="3"/>
    <s v="Info- ja kommunikatsioonitehnoloogia kulud"/>
    <s v="2"/>
    <x v="1"/>
    <m/>
    <m/>
    <s v="55"/>
    <s v="Ulvi Raamatukogu"/>
    <x v="28"/>
    <x v="2"/>
    <x v="28"/>
    <s v=""/>
    <s v=""/>
    <x v="4"/>
    <x v="5"/>
    <m/>
    <m/>
    <n v="240"/>
  </r>
  <r>
    <x v="14"/>
    <n v="100"/>
    <x v="9"/>
    <x v="3"/>
    <s v="Administreerimiskulud"/>
    <s v="2"/>
    <x v="1"/>
    <m/>
    <m/>
    <s v="55"/>
    <s v="Ulvi Raamatukogu"/>
    <x v="28"/>
    <x v="2"/>
    <x v="28"/>
    <m/>
    <m/>
    <x v="4"/>
    <x v="5"/>
    <m/>
    <m/>
    <n v="100"/>
  </r>
  <r>
    <x v="136"/>
    <n v="2820"/>
    <x v="23"/>
    <x v="3"/>
    <s v="Sotsiaalteenused"/>
    <s v="2"/>
    <x v="1"/>
    <m/>
    <m/>
    <s v="24"/>
    <s v="Sotsiaalteenistus"/>
    <x v="29"/>
    <x v="4"/>
    <x v="29"/>
    <s v=""/>
    <s v=""/>
    <x v="4"/>
    <x v="16"/>
    <m/>
    <m/>
    <n v="2820"/>
  </r>
  <r>
    <x v="137"/>
    <n v="7000"/>
    <x v="24"/>
    <x v="5"/>
    <s v="Peretoetused"/>
    <s v="2"/>
    <x v="1"/>
    <m/>
    <m/>
    <s v="24"/>
    <s v="Sotsiaalteenistus"/>
    <x v="29"/>
    <x v="4"/>
    <x v="29"/>
    <s v=""/>
    <s v=""/>
    <x v="7"/>
    <x v="16"/>
    <m/>
    <m/>
    <n v="7000"/>
  </r>
  <r>
    <x v="138"/>
    <n v="3000"/>
    <x v="2"/>
    <x v="1"/>
    <s v="Antud sihtfinantseerimine tegevuskuludeks"/>
    <s v="2"/>
    <x v="1"/>
    <m/>
    <m/>
    <s v="24"/>
    <s v="Sotsiaalteenistus"/>
    <x v="29"/>
    <x v="4"/>
    <x v="29"/>
    <s v=""/>
    <s v=""/>
    <x v="2"/>
    <x v="16"/>
    <m/>
    <m/>
    <n v="3000"/>
  </r>
  <r>
    <x v="139"/>
    <n v="22000"/>
    <x v="24"/>
    <x v="5"/>
    <s v="Peretoetused"/>
    <s v="2"/>
    <x v="1"/>
    <m/>
    <m/>
    <s v="24"/>
    <s v="Sotsiaalteenistus"/>
    <x v="29"/>
    <x v="4"/>
    <x v="29"/>
    <s v=""/>
    <s v=""/>
    <x v="7"/>
    <x v="16"/>
    <m/>
    <m/>
    <n v="22000"/>
  </r>
  <r>
    <x v="140"/>
    <n v="33000"/>
    <x v="17"/>
    <x v="2"/>
    <s v="Töötasud võlaõiguslike lepingute alusel"/>
    <s v="2"/>
    <x v="1"/>
    <m/>
    <m/>
    <s v="24"/>
    <s v="Sotsiaalteenistus"/>
    <x v="30"/>
    <x v="4"/>
    <x v="30"/>
    <s v=""/>
    <s v=""/>
    <x v="3"/>
    <x v="18"/>
    <m/>
    <m/>
    <n v="33000"/>
  </r>
  <r>
    <x v="141"/>
    <n v="1100"/>
    <x v="14"/>
    <x v="3"/>
    <s v="Isikliku sõiduauto kompensatsioon"/>
    <s v="2"/>
    <x v="1"/>
    <m/>
    <m/>
    <s v="24"/>
    <s v="Sotsiaalteenistus"/>
    <x v="30"/>
    <x v="4"/>
    <x v="30"/>
    <s v=""/>
    <s v=""/>
    <x v="4"/>
    <x v="18"/>
    <m/>
    <m/>
    <n v="1100"/>
  </r>
  <r>
    <x v="142"/>
    <n v="1632"/>
    <x v="14"/>
    <x v="3"/>
    <s v="Isikliku sõiduauto kompensatsioon"/>
    <s v="2"/>
    <x v="1"/>
    <m/>
    <m/>
    <s v="24"/>
    <s v="Sotsiaalteenistus"/>
    <x v="30"/>
    <x v="4"/>
    <x v="30"/>
    <s v=""/>
    <s v=""/>
    <x v="4"/>
    <x v="18"/>
    <m/>
    <m/>
    <n v="1632"/>
  </r>
  <r>
    <x v="4"/>
    <n v="18130.32"/>
    <x v="4"/>
    <x v="2"/>
    <s v="Tööjõukuludega kaasnevad maksud ja sotsiaalkindlustusmaksed"/>
    <s v="2"/>
    <x v="1"/>
    <m/>
    <m/>
    <s v="24"/>
    <s v="Sotsiaalteenistus"/>
    <x v="30"/>
    <x v="4"/>
    <x v="30"/>
    <s v=""/>
    <s v=""/>
    <x v="3"/>
    <x v="18"/>
    <m/>
    <m/>
    <n v="18130.32"/>
  </r>
  <r>
    <x v="143"/>
    <n v="9600"/>
    <x v="3"/>
    <x v="2"/>
    <s v="Töötajate töötasud"/>
    <s v="2"/>
    <x v="1"/>
    <m/>
    <m/>
    <s v="24"/>
    <s v="Sotsiaalteenistus"/>
    <x v="30"/>
    <x v="4"/>
    <x v="30"/>
    <s v=""/>
    <s v=""/>
    <x v="3"/>
    <x v="18"/>
    <m/>
    <m/>
    <n v="9600"/>
  </r>
  <r>
    <x v="144"/>
    <n v="11040"/>
    <x v="3"/>
    <x v="2"/>
    <s v="Töötajate töötasud"/>
    <s v="2"/>
    <x v="1"/>
    <m/>
    <m/>
    <s v="24"/>
    <s v="Sotsiaalteenistus"/>
    <x v="30"/>
    <x v="4"/>
    <x v="30"/>
    <s v=""/>
    <s v=""/>
    <x v="3"/>
    <x v="18"/>
    <m/>
    <m/>
    <n v="11040"/>
  </r>
  <r>
    <x v="145"/>
    <n v="11000"/>
    <x v="27"/>
    <x v="5"/>
    <s v="Toetused puudega inimestele ja nende hooldajatele"/>
    <s v="2"/>
    <x v="1"/>
    <m/>
    <m/>
    <s v="24"/>
    <s v="Sotsiaalteenistus"/>
    <x v="31"/>
    <x v="4"/>
    <x v="31"/>
    <s v=""/>
    <s v=""/>
    <x v="7"/>
    <x v="18"/>
    <m/>
    <m/>
    <n v="11000"/>
  </r>
  <r>
    <x v="146"/>
    <n v="3000"/>
    <x v="2"/>
    <x v="1"/>
    <s v="Antud sihtfinantseerimine tegevuskuludeks"/>
    <s v="2"/>
    <x v="1"/>
    <m/>
    <m/>
    <s v="24"/>
    <s v="Sotsiaalteenistus"/>
    <x v="31"/>
    <x v="4"/>
    <x v="31"/>
    <s v=""/>
    <s v=""/>
    <x v="2"/>
    <x v="18"/>
    <m/>
    <m/>
    <n v="3000"/>
  </r>
  <r>
    <x v="147"/>
    <n v="221.64"/>
    <x v="8"/>
    <x v="3"/>
    <s v="Kinnistute, hoonete ja ruumide majandamiskulud"/>
    <s v="2"/>
    <x v="1"/>
    <m/>
    <m/>
    <s v="63"/>
    <s v="Pajusti klubi"/>
    <x v="32"/>
    <x v="2"/>
    <x v="32"/>
    <s v=""/>
    <s v=""/>
    <x v="4"/>
    <x v="19"/>
    <m/>
    <m/>
    <n v="221.64"/>
  </r>
  <r>
    <x v="61"/>
    <n v="2880"/>
    <x v="14"/>
    <x v="3"/>
    <s v="Isikliku sõiduauto kompensatsioon"/>
    <s v="2"/>
    <x v="1"/>
    <m/>
    <m/>
    <s v="63"/>
    <s v="Pajusti klubi"/>
    <x v="32"/>
    <x v="2"/>
    <x v="32"/>
    <s v=""/>
    <s v=""/>
    <x v="4"/>
    <x v="19"/>
    <m/>
    <m/>
    <n v="2880"/>
  </r>
  <r>
    <x v="46"/>
    <n v="7848"/>
    <x v="3"/>
    <x v="2"/>
    <s v="Töötajate töötasud"/>
    <s v="2"/>
    <x v="1"/>
    <m/>
    <m/>
    <s v="63"/>
    <s v="Pajusti klubi"/>
    <x v="32"/>
    <x v="2"/>
    <x v="32"/>
    <s v=""/>
    <s v=""/>
    <x v="3"/>
    <x v="19"/>
    <m/>
    <m/>
    <n v="7848"/>
  </r>
  <r>
    <x v="4"/>
    <n v="12640.52"/>
    <x v="4"/>
    <x v="2"/>
    <s v="Tööjõukuludega kaasnevad maksud ja sotsiaalkindlustusmaksed"/>
    <s v="2"/>
    <x v="1"/>
    <m/>
    <m/>
    <s v="63"/>
    <s v="Pajusti klubi"/>
    <x v="32"/>
    <x v="2"/>
    <x v="32"/>
    <m/>
    <s v=""/>
    <x v="3"/>
    <x v="19"/>
    <m/>
    <m/>
    <n v="12640.52"/>
  </r>
  <r>
    <x v="148"/>
    <n v="7776"/>
    <x v="17"/>
    <x v="2"/>
    <s v="Töötasud võlaõiguslike lepingute alusel"/>
    <s v="2"/>
    <x v="1"/>
    <m/>
    <m/>
    <s v="63"/>
    <s v="Pajusti klubi"/>
    <x v="32"/>
    <x v="2"/>
    <x v="32"/>
    <s v=""/>
    <s v=""/>
    <x v="3"/>
    <x v="19"/>
    <m/>
    <m/>
    <n v="7776"/>
  </r>
  <r>
    <x v="148"/>
    <n v="1350"/>
    <x v="17"/>
    <x v="2"/>
    <s v="Töötasud võlaõiguslike lepingute alusel"/>
    <s v="2"/>
    <x v="1"/>
    <m/>
    <m/>
    <s v="63"/>
    <s v="Pajusti klubi"/>
    <x v="32"/>
    <x v="2"/>
    <x v="32"/>
    <s v=""/>
    <s v=""/>
    <x v="3"/>
    <x v="19"/>
    <m/>
    <m/>
    <n v="1350"/>
  </r>
  <r>
    <x v="149"/>
    <n v="6624"/>
    <x v="3"/>
    <x v="2"/>
    <s v="Töötajate töötasud"/>
    <s v="2"/>
    <x v="1"/>
    <m/>
    <m/>
    <s v="63"/>
    <s v="Pajusti klubi"/>
    <x v="32"/>
    <x v="2"/>
    <x v="32"/>
    <s v=""/>
    <s v=""/>
    <x v="3"/>
    <x v="19"/>
    <m/>
    <m/>
    <n v="6624"/>
  </r>
  <r>
    <x v="13"/>
    <n v="13800"/>
    <x v="3"/>
    <x v="2"/>
    <s v="Töötajate töötasud"/>
    <s v="2"/>
    <x v="1"/>
    <m/>
    <m/>
    <s v="63"/>
    <s v="Pajusti klubi"/>
    <x v="32"/>
    <x v="2"/>
    <x v="32"/>
    <s v=""/>
    <s v=""/>
    <x v="3"/>
    <x v="19"/>
    <m/>
    <m/>
    <n v="13800"/>
  </r>
  <r>
    <x v="6"/>
    <n v="2520"/>
    <x v="6"/>
    <x v="3"/>
    <s v="Elekter"/>
    <s v="2"/>
    <x v="1"/>
    <m/>
    <m/>
    <s v="63"/>
    <s v="Pajusti klubi"/>
    <x v="32"/>
    <x v="2"/>
    <x v="32"/>
    <s v=""/>
    <s v=""/>
    <x v="4"/>
    <x v="19"/>
    <m/>
    <m/>
    <n v="2520"/>
  </r>
  <r>
    <x v="150"/>
    <n v="184.08"/>
    <x v="8"/>
    <x v="3"/>
    <s v="Kinnistute, hoonete ja ruumide majandamiskulud"/>
    <s v="2"/>
    <x v="1"/>
    <m/>
    <m/>
    <s v="63"/>
    <s v="Pajusti klubi"/>
    <x v="32"/>
    <x v="2"/>
    <x v="32"/>
    <s v=""/>
    <s v=""/>
    <x v="4"/>
    <x v="19"/>
    <m/>
    <m/>
    <n v="184.08"/>
  </r>
  <r>
    <x v="151"/>
    <n v="174"/>
    <x v="8"/>
    <x v="3"/>
    <s v="Kinnistute, hoonete ja ruumide majandamiskulud"/>
    <s v="2"/>
    <x v="1"/>
    <m/>
    <m/>
    <s v="63"/>
    <s v="Pajusti klubi"/>
    <x v="32"/>
    <x v="2"/>
    <x v="32"/>
    <s v=""/>
    <s v=""/>
    <x v="4"/>
    <x v="19"/>
    <m/>
    <m/>
    <n v="174"/>
  </r>
  <r>
    <x v="48"/>
    <n v="10920"/>
    <x v="5"/>
    <x v="3"/>
    <s v="Küte ja soojusenergia"/>
    <s v="2"/>
    <x v="1"/>
    <m/>
    <m/>
    <s v="63"/>
    <s v="Pajusti klubi"/>
    <x v="32"/>
    <x v="2"/>
    <x v="32"/>
    <s v=""/>
    <s v=""/>
    <x v="4"/>
    <x v="19"/>
    <m/>
    <m/>
    <n v="10920"/>
  </r>
  <r>
    <x v="7"/>
    <n v="420"/>
    <x v="7"/>
    <x v="3"/>
    <s v="Vesi ja kanalisatsioon"/>
    <s v="2"/>
    <x v="1"/>
    <m/>
    <m/>
    <s v="63"/>
    <s v="Pajusti klubi"/>
    <x v="32"/>
    <x v="2"/>
    <x v="32"/>
    <m/>
    <m/>
    <x v="4"/>
    <x v="19"/>
    <m/>
    <m/>
    <n v="420"/>
  </r>
  <r>
    <x v="152"/>
    <n v="2520"/>
    <x v="17"/>
    <x v="2"/>
    <s v="Töötasud võlaõiguslike lepingute alusel"/>
    <s v="2"/>
    <x v="1"/>
    <m/>
    <m/>
    <s v="213"/>
    <s v="Spordinõunik"/>
    <x v="33"/>
    <x v="1"/>
    <x v="33"/>
    <s v=""/>
    <s v=""/>
    <x v="3"/>
    <x v="9"/>
    <m/>
    <m/>
    <n v="2520"/>
  </r>
  <r>
    <x v="153"/>
    <n v="6200"/>
    <x v="28"/>
    <x v="3"/>
    <s v="Mitmesugused majanduskulud"/>
    <s v="2"/>
    <x v="1"/>
    <m/>
    <m/>
    <s v="213"/>
    <s v="Spordinõunik"/>
    <x v="33"/>
    <x v="1"/>
    <x v="33"/>
    <s v=""/>
    <s v=""/>
    <x v="4"/>
    <x v="9"/>
    <m/>
    <m/>
    <n v="6200"/>
  </r>
  <r>
    <x v="154"/>
    <n v="851.76"/>
    <x v="4"/>
    <x v="2"/>
    <s v="Tööjõukuludega kaasnevad maksud ja sotsiaalkindlustusmaksed"/>
    <s v="2"/>
    <x v="1"/>
    <m/>
    <m/>
    <s v="213"/>
    <s v="Spordinõunik"/>
    <x v="33"/>
    <x v="1"/>
    <x v="33"/>
    <s v=""/>
    <s v=""/>
    <x v="3"/>
    <x v="9"/>
    <m/>
    <m/>
    <n v="851.76"/>
  </r>
  <r>
    <x v="4"/>
    <n v="34433.68"/>
    <x v="4"/>
    <x v="2"/>
    <s v="Tööjõukuludega kaasnevad maksud ja sotsiaalkindlustusmaksed"/>
    <s v="2"/>
    <x v="1"/>
    <m/>
    <m/>
    <s v="43"/>
    <s v="Roela kool"/>
    <x v="34"/>
    <x v="1"/>
    <x v="34"/>
    <s v=""/>
    <s v=""/>
    <x v="3"/>
    <x v="6"/>
    <m/>
    <m/>
    <n v="34433.68"/>
  </r>
  <r>
    <x v="155"/>
    <n v="551.48"/>
    <x v="2"/>
    <x v="1"/>
    <s v="Antud sihtfinantseerimine tegevuskuludeks"/>
    <s v="2"/>
    <x v="1"/>
    <m/>
    <m/>
    <s v="25"/>
    <s v="Haridusteenistus"/>
    <x v="35"/>
    <x v="1"/>
    <x v="35"/>
    <s v=""/>
    <s v=""/>
    <x v="2"/>
    <x v="20"/>
    <m/>
    <m/>
    <n v="551.48"/>
  </r>
  <r>
    <x v="156"/>
    <n v="3924"/>
    <x v="3"/>
    <x v="2"/>
    <s v="Töötajate töötasud"/>
    <s v="2"/>
    <x v="1"/>
    <m/>
    <m/>
    <s v="32"/>
    <s v="Kulina Lasteaed"/>
    <x v="36"/>
    <x v="1"/>
    <x v="36"/>
    <s v=""/>
    <s v=""/>
    <x v="3"/>
    <x v="1"/>
    <m/>
    <m/>
    <n v="3924"/>
  </r>
  <r>
    <x v="42"/>
    <n v="4236"/>
    <x v="17"/>
    <x v="2"/>
    <s v="Töötasud võlaõiguslike lepingute alusel"/>
    <s v="2"/>
    <x v="1"/>
    <m/>
    <m/>
    <s v="32"/>
    <s v="Kulina Lasteaed"/>
    <x v="36"/>
    <x v="1"/>
    <x v="36"/>
    <s v=""/>
    <s v=""/>
    <x v="3"/>
    <x v="1"/>
    <m/>
    <m/>
    <n v="4236"/>
  </r>
  <r>
    <x v="157"/>
    <n v="3388.8"/>
    <x v="3"/>
    <x v="2"/>
    <s v="Töötajate töötasud"/>
    <s v="2"/>
    <x v="1"/>
    <m/>
    <m/>
    <s v="32"/>
    <s v="Kulina Lasteaed"/>
    <x v="36"/>
    <x v="1"/>
    <x v="36"/>
    <s v=""/>
    <s v=""/>
    <x v="3"/>
    <x v="1"/>
    <m/>
    <m/>
    <n v="3388.8"/>
  </r>
  <r>
    <x v="158"/>
    <n v="6259.2"/>
    <x v="3"/>
    <x v="2"/>
    <s v="Töötajate töötasud"/>
    <s v="2"/>
    <x v="1"/>
    <m/>
    <m/>
    <s v="32"/>
    <s v="Kulina Lasteaed"/>
    <x v="36"/>
    <x v="1"/>
    <x v="36"/>
    <s v=""/>
    <s v=""/>
    <x v="3"/>
    <x v="1"/>
    <m/>
    <m/>
    <n v="6259.2"/>
  </r>
  <r>
    <x v="70"/>
    <n v="7824"/>
    <x v="3"/>
    <x v="2"/>
    <s v="Töötajate töötasud"/>
    <s v="2"/>
    <x v="1"/>
    <m/>
    <m/>
    <s v="32"/>
    <s v="Kulina Lasteaed"/>
    <x v="36"/>
    <x v="1"/>
    <x v="36"/>
    <s v=""/>
    <s v=""/>
    <x v="3"/>
    <x v="1"/>
    <m/>
    <m/>
    <n v="7824"/>
  </r>
  <r>
    <x v="159"/>
    <n v="7848"/>
    <x v="3"/>
    <x v="2"/>
    <s v="Töötajate töötasud"/>
    <s v="2"/>
    <x v="1"/>
    <m/>
    <m/>
    <s v="32"/>
    <s v="Kulina Lasteaed"/>
    <x v="36"/>
    <x v="1"/>
    <x v="36"/>
    <s v=""/>
    <s v=""/>
    <x v="3"/>
    <x v="1"/>
    <m/>
    <m/>
    <n v="7848"/>
  </r>
  <r>
    <x v="28"/>
    <n v="8359.2000000000007"/>
    <x v="3"/>
    <x v="2"/>
    <s v="Töötajate töötasud"/>
    <s v="2"/>
    <x v="1"/>
    <m/>
    <m/>
    <s v="33"/>
    <s v="Pajusti Lasteaed"/>
    <x v="37"/>
    <x v="1"/>
    <x v="37"/>
    <s v=""/>
    <s v=""/>
    <x v="3"/>
    <x v="1"/>
    <m/>
    <m/>
    <n v="8359.2000000000007"/>
  </r>
  <r>
    <x v="160"/>
    <n v="3813"/>
    <x v="3"/>
    <x v="2"/>
    <s v="Töötajate töötasud"/>
    <s v="2"/>
    <x v="1"/>
    <m/>
    <m/>
    <s v="32"/>
    <s v="Kulina Lasteaed"/>
    <x v="36"/>
    <x v="1"/>
    <x v="36"/>
    <s v=""/>
    <s v=""/>
    <x v="3"/>
    <x v="1"/>
    <m/>
    <m/>
    <n v="3813"/>
  </r>
  <r>
    <x v="161"/>
    <n v="3813"/>
    <x v="3"/>
    <x v="2"/>
    <s v="Töötajate töötasud"/>
    <s v="2"/>
    <x v="1"/>
    <m/>
    <m/>
    <s v="32"/>
    <s v="Kulina Lasteaed"/>
    <x v="36"/>
    <x v="1"/>
    <x v="36"/>
    <s v=""/>
    <s v=""/>
    <x v="3"/>
    <x v="1"/>
    <m/>
    <m/>
    <n v="3813"/>
  </r>
  <r>
    <x v="162"/>
    <n v="12659.16"/>
    <x v="3"/>
    <x v="2"/>
    <s v="Töötajate töötasud"/>
    <s v="2"/>
    <x v="1"/>
    <m/>
    <m/>
    <s v="32"/>
    <s v="Kulina Lasteaed"/>
    <x v="36"/>
    <x v="1"/>
    <x v="36"/>
    <s v=""/>
    <s v=""/>
    <x v="3"/>
    <x v="1"/>
    <m/>
    <m/>
    <n v="12659.16"/>
  </r>
  <r>
    <x v="162"/>
    <n v="12659.16"/>
    <x v="3"/>
    <x v="2"/>
    <s v="Töötajate töötasud"/>
    <s v="2"/>
    <x v="1"/>
    <m/>
    <m/>
    <s v="32"/>
    <s v="Kulina Lasteaed"/>
    <x v="36"/>
    <x v="1"/>
    <x v="36"/>
    <s v=""/>
    <s v=""/>
    <x v="3"/>
    <x v="1"/>
    <m/>
    <m/>
    <n v="12659.16"/>
  </r>
  <r>
    <x v="71"/>
    <n v="15252"/>
    <x v="3"/>
    <x v="2"/>
    <s v="Töötajate töötasud"/>
    <s v="2"/>
    <x v="1"/>
    <m/>
    <m/>
    <s v="32"/>
    <s v="Kulina Lasteaed"/>
    <x v="36"/>
    <x v="1"/>
    <x v="36"/>
    <s v=""/>
    <s v=""/>
    <x v="3"/>
    <x v="1"/>
    <m/>
    <m/>
    <n v="15252"/>
  </r>
  <r>
    <x v="71"/>
    <n v="15252"/>
    <x v="3"/>
    <x v="2"/>
    <s v="Töötajate töötasud"/>
    <s v="2"/>
    <x v="1"/>
    <m/>
    <m/>
    <s v="32"/>
    <s v="Kulina Lasteaed"/>
    <x v="36"/>
    <x v="1"/>
    <x v="36"/>
    <s v=""/>
    <s v=""/>
    <x v="3"/>
    <x v="1"/>
    <m/>
    <m/>
    <n v="15252"/>
  </r>
  <r>
    <x v="69"/>
    <n v="5700.24"/>
    <x v="16"/>
    <x v="3"/>
    <s v="Toiduained ja toitlustusteenused"/>
    <s v="2"/>
    <x v="1"/>
    <m/>
    <m/>
    <s v="32"/>
    <s v="Kulina Lasteaed"/>
    <x v="36"/>
    <x v="1"/>
    <x v="36"/>
    <s v=""/>
    <s v=""/>
    <x v="4"/>
    <x v="1"/>
    <m/>
    <m/>
    <n v="5700.24"/>
  </r>
  <r>
    <x v="163"/>
    <n v="500"/>
    <x v="14"/>
    <x v="3"/>
    <s v="Isikliku sõiduauto kompensatsioon"/>
    <s v="2"/>
    <x v="1"/>
    <m/>
    <m/>
    <s v="32"/>
    <s v="Kulina Lasteaed"/>
    <x v="36"/>
    <x v="1"/>
    <x v="36"/>
    <s v=""/>
    <s v=""/>
    <x v="4"/>
    <x v="1"/>
    <m/>
    <m/>
    <n v="500"/>
  </r>
  <r>
    <x v="164"/>
    <n v="1320"/>
    <x v="14"/>
    <x v="3"/>
    <s v="Isikliku sõiduauto kompensatsioon"/>
    <s v="2"/>
    <x v="1"/>
    <m/>
    <m/>
    <s v="32"/>
    <s v="Kulina Lasteaed"/>
    <x v="36"/>
    <x v="1"/>
    <x v="36"/>
    <s v=""/>
    <s v=""/>
    <x v="4"/>
    <x v="1"/>
    <m/>
    <m/>
    <n v="1320"/>
  </r>
  <r>
    <x v="4"/>
    <n v="42053.05"/>
    <x v="4"/>
    <x v="2"/>
    <s v="Tööjõukuludega kaasnevad maksud ja sotsiaalkindlustusmaksed"/>
    <s v="2"/>
    <x v="1"/>
    <m/>
    <m/>
    <s v="32"/>
    <s v="Kulina Lasteaed"/>
    <x v="36"/>
    <x v="1"/>
    <x v="36"/>
    <s v=""/>
    <s v=""/>
    <x v="3"/>
    <x v="1"/>
    <m/>
    <m/>
    <n v="42053.05"/>
  </r>
  <r>
    <x v="165"/>
    <n v="3120"/>
    <x v="3"/>
    <x v="2"/>
    <s v="Töötajate töötasud"/>
    <s v="2"/>
    <x v="1"/>
    <m/>
    <m/>
    <s v="32"/>
    <s v="Kulina Lasteaed"/>
    <x v="36"/>
    <x v="1"/>
    <x v="36"/>
    <s v=""/>
    <s v=""/>
    <x v="3"/>
    <x v="1"/>
    <m/>
    <m/>
    <n v="3120"/>
  </r>
  <r>
    <x v="135"/>
    <n v="15660"/>
    <x v="3"/>
    <x v="2"/>
    <s v="Töötajate töötasud"/>
    <s v="2"/>
    <x v="1"/>
    <m/>
    <m/>
    <s v="32"/>
    <s v="Kulina Lasteaed"/>
    <x v="36"/>
    <x v="1"/>
    <x v="36"/>
    <s v=""/>
    <s v=""/>
    <x v="3"/>
    <x v="1"/>
    <m/>
    <m/>
    <n v="15660"/>
  </r>
  <r>
    <x v="6"/>
    <n v="5040"/>
    <x v="6"/>
    <x v="3"/>
    <s v="Elekter"/>
    <s v="2"/>
    <x v="1"/>
    <m/>
    <m/>
    <s v="32"/>
    <s v="Kulina Lasteaed"/>
    <x v="36"/>
    <x v="1"/>
    <x v="36"/>
    <s v=""/>
    <s v=""/>
    <x v="4"/>
    <x v="1"/>
    <m/>
    <m/>
    <n v="5040"/>
  </r>
  <r>
    <x v="7"/>
    <n v="444"/>
    <x v="7"/>
    <x v="3"/>
    <s v="Vesi ja kanalisatsioon"/>
    <s v="2"/>
    <x v="1"/>
    <m/>
    <m/>
    <s v="32"/>
    <s v="Kulina Lasteaed"/>
    <x v="36"/>
    <x v="1"/>
    <x v="36"/>
    <s v=""/>
    <s v=""/>
    <x v="4"/>
    <x v="1"/>
    <m/>
    <m/>
    <n v="444"/>
  </r>
  <r>
    <x v="77"/>
    <n v="298.32"/>
    <x v="10"/>
    <x v="3"/>
    <s v="Info- ja kommunikatsioonitehnoloogia kulud"/>
    <s v="2"/>
    <x v="1"/>
    <m/>
    <m/>
    <s v="32"/>
    <s v="Kulina Lasteaed"/>
    <x v="36"/>
    <x v="1"/>
    <x v="36"/>
    <s v=""/>
    <s v=""/>
    <x v="4"/>
    <x v="1"/>
    <m/>
    <m/>
    <n v="298.32"/>
  </r>
  <r>
    <x v="166"/>
    <n v="102"/>
    <x v="8"/>
    <x v="3"/>
    <s v="Kinnistute, hoonete ja ruumide majandamiskulud"/>
    <s v="2"/>
    <x v="1"/>
    <m/>
    <m/>
    <s v="32"/>
    <s v="Kulina Lasteaed"/>
    <x v="36"/>
    <x v="1"/>
    <x v="36"/>
    <s v=""/>
    <s v=""/>
    <x v="4"/>
    <x v="1"/>
    <m/>
    <m/>
    <n v="102"/>
  </r>
  <r>
    <x v="167"/>
    <n v="221.64"/>
    <x v="8"/>
    <x v="3"/>
    <s v="Kinnistute, hoonete ja ruumide majandamiskulud"/>
    <s v="2"/>
    <x v="1"/>
    <m/>
    <m/>
    <s v="32"/>
    <s v="Kulina Lasteaed"/>
    <x v="36"/>
    <x v="1"/>
    <x v="36"/>
    <s v=""/>
    <s v=""/>
    <x v="4"/>
    <x v="1"/>
    <m/>
    <m/>
    <n v="221.64"/>
  </r>
  <r>
    <x v="150"/>
    <n v="276.08"/>
    <x v="8"/>
    <x v="3"/>
    <s v="Kinnistute, hoonete ja ruumide majandamiskulud"/>
    <s v="2"/>
    <x v="1"/>
    <m/>
    <m/>
    <s v="32"/>
    <s v="Kulina Lasteaed"/>
    <x v="36"/>
    <x v="1"/>
    <x v="36"/>
    <s v=""/>
    <s v=""/>
    <x v="4"/>
    <x v="1"/>
    <m/>
    <m/>
    <n v="276.08"/>
  </r>
  <r>
    <x v="168"/>
    <n v="1750"/>
    <x v="7"/>
    <x v="3"/>
    <s v="Vesi ja kanalisatsioon"/>
    <s v="2"/>
    <x v="1"/>
    <m/>
    <m/>
    <s v="27"/>
    <s v="Laekvere teeninduspiirkond"/>
    <x v="38"/>
    <x v="0"/>
    <x v="38"/>
    <s v=""/>
    <s v=""/>
    <x v="4"/>
    <x v="3"/>
    <m/>
    <m/>
    <n v="1750"/>
  </r>
  <r>
    <x v="169"/>
    <n v="200"/>
    <x v="8"/>
    <x v="3"/>
    <s v="Kinnistute, hoonete ja ruumide majandamiskulud"/>
    <s v="2"/>
    <x v="1"/>
    <m/>
    <m/>
    <s v="27"/>
    <s v="Laekvere teeninduspiirkond"/>
    <x v="38"/>
    <x v="0"/>
    <x v="38"/>
    <s v=""/>
    <s v=""/>
    <x v="4"/>
    <x v="3"/>
    <m/>
    <m/>
    <n v="200"/>
  </r>
  <r>
    <x v="170"/>
    <n v="212"/>
    <x v="29"/>
    <x v="3"/>
    <s v="Inventari majandamiskulud"/>
    <s v="2"/>
    <x v="1"/>
    <m/>
    <m/>
    <s v="27"/>
    <s v="Laekvere teeninduspiirkond"/>
    <x v="38"/>
    <x v="0"/>
    <x v="38"/>
    <s v=""/>
    <s v=""/>
    <x v="4"/>
    <x v="3"/>
    <m/>
    <m/>
    <n v="212"/>
  </r>
  <r>
    <x v="171"/>
    <n v="221.64"/>
    <x v="8"/>
    <x v="3"/>
    <s v="Kinnistute, hoonete ja ruumide majandamiskulud"/>
    <s v="2"/>
    <x v="1"/>
    <m/>
    <m/>
    <s v="27"/>
    <s v="Laekvere teeninduspiirkond"/>
    <x v="38"/>
    <x v="0"/>
    <x v="38"/>
    <s v=""/>
    <s v=""/>
    <x v="4"/>
    <x v="3"/>
    <m/>
    <m/>
    <n v="221.64"/>
  </r>
  <r>
    <x v="172"/>
    <n v="4920"/>
    <x v="8"/>
    <x v="3"/>
    <s v="Kinnistute, hoonete ja ruumide majandamiskulud"/>
    <s v="2"/>
    <x v="1"/>
    <m/>
    <m/>
    <s v="27"/>
    <s v="Laekvere teeninduspiirkond"/>
    <x v="38"/>
    <x v="0"/>
    <x v="38"/>
    <s v=""/>
    <s v=""/>
    <x v="4"/>
    <x v="3"/>
    <m/>
    <m/>
    <n v="4920"/>
  </r>
  <r>
    <x v="173"/>
    <n v="780"/>
    <x v="9"/>
    <x v="3"/>
    <s v="Administreerimiskulud"/>
    <s v="2"/>
    <x v="1"/>
    <m/>
    <m/>
    <s v="27"/>
    <s v="Laekvere teeninduspiirkond"/>
    <x v="38"/>
    <x v="0"/>
    <x v="38"/>
    <s v=""/>
    <s v=""/>
    <x v="4"/>
    <x v="3"/>
    <m/>
    <m/>
    <n v="780"/>
  </r>
  <r>
    <x v="174"/>
    <n v="2808"/>
    <x v="10"/>
    <x v="3"/>
    <s v="Info- ja kommunikatsioonitehnoloogia kulud"/>
    <s v="2"/>
    <x v="1"/>
    <m/>
    <m/>
    <s v="27"/>
    <s v="Laekvere teeninduspiirkond"/>
    <x v="38"/>
    <x v="0"/>
    <x v="38"/>
    <s v=""/>
    <s v=""/>
    <x v="4"/>
    <x v="3"/>
    <m/>
    <m/>
    <n v="2808"/>
  </r>
  <r>
    <x v="175"/>
    <n v="7260"/>
    <x v="8"/>
    <x v="3"/>
    <s v="Kinnistute, hoonete ja ruumide majandamiskulud"/>
    <s v="2"/>
    <x v="1"/>
    <m/>
    <m/>
    <s v="27"/>
    <s v="Laekvere teeninduspiirkond"/>
    <x v="38"/>
    <x v="0"/>
    <x v="38"/>
    <s v=""/>
    <s v=""/>
    <x v="4"/>
    <x v="3"/>
    <m/>
    <m/>
    <n v="7260"/>
  </r>
  <r>
    <x v="176"/>
    <n v="1680"/>
    <x v="8"/>
    <x v="3"/>
    <s v="Kinnistute, hoonete ja ruumide majandamiskulud"/>
    <s v="2"/>
    <x v="1"/>
    <m/>
    <m/>
    <s v="27"/>
    <s v="Laekvere teeninduspiirkond"/>
    <x v="38"/>
    <x v="0"/>
    <x v="38"/>
    <s v=""/>
    <s v=""/>
    <x v="4"/>
    <x v="3"/>
    <m/>
    <m/>
    <n v="1680"/>
  </r>
  <r>
    <x v="177"/>
    <n v="4920"/>
    <x v="8"/>
    <x v="3"/>
    <s v="Kinnistute, hoonete ja ruumide majandamiskulud"/>
    <s v="2"/>
    <x v="1"/>
    <m/>
    <m/>
    <s v="27"/>
    <s v="Laekvere teeninduspiirkond"/>
    <x v="38"/>
    <x v="0"/>
    <x v="38"/>
    <s v=""/>
    <s v=""/>
    <x v="4"/>
    <x v="3"/>
    <m/>
    <m/>
    <n v="4920"/>
  </r>
  <r>
    <x v="178"/>
    <n v="720"/>
    <x v="8"/>
    <x v="3"/>
    <s v="Kinnistute, hoonete ja ruumide majandamiskulud"/>
    <s v="2"/>
    <x v="1"/>
    <m/>
    <m/>
    <s v="27"/>
    <s v="Laekvere teeninduspiirkond"/>
    <x v="38"/>
    <x v="0"/>
    <x v="38"/>
    <s v=""/>
    <s v=""/>
    <x v="4"/>
    <x v="3"/>
    <m/>
    <m/>
    <n v="720"/>
  </r>
  <r>
    <x v="179"/>
    <n v="317.64"/>
    <x v="8"/>
    <x v="3"/>
    <s v="Kinnistute, hoonete ja ruumide majandamiskulud"/>
    <s v="2"/>
    <x v="1"/>
    <m/>
    <m/>
    <s v="27"/>
    <s v="Laekvere teeninduspiirkond"/>
    <x v="38"/>
    <x v="0"/>
    <x v="38"/>
    <s v=""/>
    <s v=""/>
    <x v="4"/>
    <x v="3"/>
    <m/>
    <m/>
    <n v="317.64"/>
  </r>
  <r>
    <x v="180"/>
    <n v="684"/>
    <x v="8"/>
    <x v="3"/>
    <s v="Kinnistute, hoonete ja ruumide majandamiskulud"/>
    <s v="2"/>
    <x v="1"/>
    <m/>
    <m/>
    <s v="27"/>
    <s v="Laekvere teeninduspiirkond"/>
    <x v="38"/>
    <x v="0"/>
    <x v="38"/>
    <s v=""/>
    <s v=""/>
    <x v="4"/>
    <x v="3"/>
    <m/>
    <m/>
    <n v="684"/>
  </r>
  <r>
    <x v="181"/>
    <n v="662.4"/>
    <x v="8"/>
    <x v="3"/>
    <s v="Kinnistute, hoonete ja ruumide majandamiskulud"/>
    <s v="2"/>
    <x v="1"/>
    <m/>
    <m/>
    <s v="27"/>
    <s v="Laekvere teeninduspiirkond"/>
    <x v="38"/>
    <x v="0"/>
    <x v="38"/>
    <s v=""/>
    <s v=""/>
    <x v="4"/>
    <x v="3"/>
    <m/>
    <m/>
    <n v="662.4"/>
  </r>
  <r>
    <x v="182"/>
    <n v="5400"/>
    <x v="28"/>
    <x v="3"/>
    <s v="Mitmesugused majanduskulud"/>
    <s v="2"/>
    <x v="1"/>
    <m/>
    <m/>
    <s v="27"/>
    <s v="Laekvere teeninduspiirkond"/>
    <x v="38"/>
    <x v="0"/>
    <x v="38"/>
    <s v=""/>
    <s v=""/>
    <x v="4"/>
    <x v="3"/>
    <m/>
    <m/>
    <n v="5400"/>
  </r>
  <r>
    <x v="183"/>
    <n v="201.6"/>
    <x v="8"/>
    <x v="3"/>
    <s v="Kinnistute, hoonete ja ruumide majandamiskulud"/>
    <s v="2"/>
    <x v="1"/>
    <m/>
    <m/>
    <s v="27"/>
    <s v="Laekvere teeninduspiirkond"/>
    <x v="38"/>
    <x v="0"/>
    <x v="38"/>
    <s v=""/>
    <s v=""/>
    <x v="4"/>
    <x v="3"/>
    <m/>
    <m/>
    <n v="201.6"/>
  </r>
  <r>
    <x v="116"/>
    <n v="3000"/>
    <x v="11"/>
    <x v="3"/>
    <s v="Kütus"/>
    <s v="2"/>
    <x v="1"/>
    <m/>
    <m/>
    <s v="27"/>
    <s v="Laekvere teeninduspiirkond"/>
    <x v="38"/>
    <x v="0"/>
    <x v="38"/>
    <s v=""/>
    <s v=""/>
    <x v="4"/>
    <x v="3"/>
    <m/>
    <m/>
    <n v="3000"/>
  </r>
  <r>
    <x v="184"/>
    <n v="350"/>
    <x v="30"/>
    <x v="3"/>
    <s v="Sõidukite ülalpidamise kulud"/>
    <s v="2"/>
    <x v="1"/>
    <m/>
    <m/>
    <s v="27"/>
    <s v="Laekvere teeninduspiirkond"/>
    <x v="38"/>
    <x v="0"/>
    <x v="38"/>
    <s v=""/>
    <s v=""/>
    <x v="4"/>
    <x v="3"/>
    <m/>
    <m/>
    <n v="350"/>
  </r>
  <r>
    <x v="185"/>
    <n v="200"/>
    <x v="30"/>
    <x v="3"/>
    <s v="Sõidukite ülalpidamise kulud"/>
    <s v="2"/>
    <x v="1"/>
    <m/>
    <m/>
    <s v="27"/>
    <s v="Laekvere teeninduspiirkond"/>
    <x v="38"/>
    <x v="0"/>
    <x v="38"/>
    <s v=""/>
    <s v=""/>
    <x v="4"/>
    <x v="3"/>
    <m/>
    <m/>
    <n v="200"/>
  </r>
  <r>
    <x v="186"/>
    <n v="1750"/>
    <x v="12"/>
    <x v="3"/>
    <s v="Kindlustus"/>
    <s v="2"/>
    <x v="1"/>
    <m/>
    <m/>
    <s v="27"/>
    <s v="Laekvere teeninduspiirkond"/>
    <x v="38"/>
    <x v="0"/>
    <x v="38"/>
    <s v=""/>
    <s v=""/>
    <x v="4"/>
    <x v="3"/>
    <m/>
    <m/>
    <n v="1750"/>
  </r>
  <r>
    <x v="187"/>
    <n v="3033.24"/>
    <x v="13"/>
    <x v="3"/>
    <s v="Sõidukite kasutusrent"/>
    <s v="2"/>
    <x v="1"/>
    <m/>
    <m/>
    <s v="27"/>
    <s v="Laekvere teeninduspiirkond"/>
    <x v="38"/>
    <x v="0"/>
    <x v="38"/>
    <s v=""/>
    <s v=""/>
    <x v="4"/>
    <x v="3"/>
    <m/>
    <m/>
    <n v="3033.24"/>
  </r>
  <r>
    <x v="188"/>
    <n v="1000"/>
    <x v="8"/>
    <x v="3"/>
    <s v="Kinnistute, hoonete ja ruumide majandamiskulud"/>
    <s v="2"/>
    <x v="1"/>
    <m/>
    <m/>
    <s v="27"/>
    <s v="Laekvere teeninduspiirkond"/>
    <x v="38"/>
    <x v="0"/>
    <x v="38"/>
    <s v=""/>
    <s v=""/>
    <x v="4"/>
    <x v="3"/>
    <m/>
    <m/>
    <n v="1000"/>
  </r>
  <r>
    <x v="189"/>
    <n v="9360"/>
    <x v="8"/>
    <x v="3"/>
    <s v="Kinnistute, hoonete ja ruumide majandamiskulud"/>
    <s v="2"/>
    <x v="1"/>
    <m/>
    <m/>
    <s v="27"/>
    <s v="Laekvere teeninduspiirkond"/>
    <x v="38"/>
    <x v="0"/>
    <x v="38"/>
    <s v=""/>
    <s v=""/>
    <x v="4"/>
    <x v="3"/>
    <m/>
    <m/>
    <n v="9360"/>
  </r>
  <r>
    <x v="190"/>
    <n v="540"/>
    <x v="7"/>
    <x v="3"/>
    <s v="Vesi ja kanalisatsioon"/>
    <s v="2"/>
    <x v="1"/>
    <m/>
    <m/>
    <s v="27"/>
    <s v="Laekvere teeninduspiirkond"/>
    <x v="38"/>
    <x v="0"/>
    <x v="38"/>
    <s v=""/>
    <s v=""/>
    <x v="4"/>
    <x v="3"/>
    <m/>
    <m/>
    <n v="540"/>
  </r>
  <r>
    <x v="6"/>
    <n v="6600"/>
    <x v="6"/>
    <x v="3"/>
    <s v="Elekter"/>
    <s v="2"/>
    <x v="1"/>
    <m/>
    <m/>
    <s v="27"/>
    <s v="Laekvere teeninduspiirkond"/>
    <x v="38"/>
    <x v="0"/>
    <x v="38"/>
    <s v=""/>
    <s v=""/>
    <x v="4"/>
    <x v="3"/>
    <m/>
    <m/>
    <n v="6600"/>
  </r>
  <r>
    <x v="4"/>
    <n v="21076.33"/>
    <x v="4"/>
    <x v="2"/>
    <s v="Tööjõukuludega kaasnevad maksud ja sotsiaalkindlustusmaksed"/>
    <s v="2"/>
    <x v="1"/>
    <m/>
    <m/>
    <s v="27"/>
    <s v="Laekvere teeninduspiirkond"/>
    <x v="38"/>
    <x v="0"/>
    <x v="38"/>
    <s v=""/>
    <s v=""/>
    <x v="3"/>
    <x v="3"/>
    <m/>
    <m/>
    <n v="21076.33"/>
  </r>
  <r>
    <x v="46"/>
    <n v="7848"/>
    <x v="3"/>
    <x v="2"/>
    <s v="Töötajate töötasud"/>
    <s v="2"/>
    <x v="1"/>
    <m/>
    <m/>
    <s v="27"/>
    <s v="Laekvere teeninduspiirkond"/>
    <x v="38"/>
    <x v="0"/>
    <x v="38"/>
    <s v=""/>
    <s v=""/>
    <x v="3"/>
    <x v="3"/>
    <m/>
    <m/>
    <n v="7848"/>
  </r>
  <r>
    <x v="191"/>
    <n v="10800"/>
    <x v="3"/>
    <x v="2"/>
    <s v="Töötajate töötasud"/>
    <s v="2"/>
    <x v="1"/>
    <m/>
    <m/>
    <s v="27"/>
    <s v="Laekvere teeninduspiirkond"/>
    <x v="38"/>
    <x v="0"/>
    <x v="38"/>
    <s v=""/>
    <s v=""/>
    <x v="3"/>
    <x v="3"/>
    <m/>
    <m/>
    <n v="10800"/>
  </r>
  <r>
    <x v="192"/>
    <n v="10800"/>
    <x v="3"/>
    <x v="2"/>
    <s v="Töötajate töötasud"/>
    <s v="2"/>
    <x v="1"/>
    <m/>
    <m/>
    <s v="27"/>
    <s v="Laekvere teeninduspiirkond"/>
    <x v="38"/>
    <x v="0"/>
    <x v="38"/>
    <s v=""/>
    <s v=""/>
    <x v="3"/>
    <x v="3"/>
    <m/>
    <m/>
    <n v="10800"/>
  </r>
  <r>
    <x v="17"/>
    <n v="7848"/>
    <x v="3"/>
    <x v="2"/>
    <s v="Töötajate töötasud"/>
    <s v="2"/>
    <x v="1"/>
    <m/>
    <m/>
    <s v="27"/>
    <s v="Laekvere teeninduspiirkond"/>
    <x v="38"/>
    <x v="0"/>
    <x v="38"/>
    <s v=""/>
    <s v=""/>
    <x v="3"/>
    <x v="3"/>
    <m/>
    <m/>
    <n v="7848"/>
  </r>
  <r>
    <x v="193"/>
    <n v="8040"/>
    <x v="5"/>
    <x v="3"/>
    <s v="Küte ja soojusenergia"/>
    <s v="2"/>
    <x v="1"/>
    <m/>
    <m/>
    <s v="27"/>
    <s v="Laekvere teeninduspiirkond"/>
    <x v="38"/>
    <x v="0"/>
    <x v="38"/>
    <s v=""/>
    <s v=""/>
    <x v="4"/>
    <x v="3"/>
    <m/>
    <m/>
    <n v="8040"/>
  </r>
  <r>
    <x v="194"/>
    <n v="19560"/>
    <x v="3"/>
    <x v="2"/>
    <s v="Töötajate töötasud"/>
    <s v="2"/>
    <x v="1"/>
    <m/>
    <m/>
    <s v="27"/>
    <s v="Laekvere teeninduspiirkond"/>
    <x v="38"/>
    <x v="0"/>
    <x v="38"/>
    <s v=""/>
    <s v=""/>
    <x v="3"/>
    <x v="3"/>
    <m/>
    <m/>
    <n v="19560"/>
  </r>
  <r>
    <x v="195"/>
    <n v="10000"/>
    <x v="2"/>
    <x v="1"/>
    <s v="Antud sihtfinantseerimine tegevuskuludeks"/>
    <s v="2"/>
    <x v="1"/>
    <m/>
    <m/>
    <s v="24"/>
    <s v="Sotsiaalteenistus"/>
    <x v="39"/>
    <x v="4"/>
    <x v="39"/>
    <s v=""/>
    <s v=""/>
    <x v="2"/>
    <x v="21"/>
    <m/>
    <m/>
    <n v="10000"/>
  </r>
  <r>
    <x v="196"/>
    <n v="984"/>
    <x v="9"/>
    <x v="3"/>
    <s v="Administreerimiskulud"/>
    <s v="2"/>
    <x v="1"/>
    <m/>
    <m/>
    <s v="24"/>
    <s v="Sotsiaalteenistus"/>
    <x v="39"/>
    <x v="4"/>
    <x v="39"/>
    <s v=""/>
    <s v=""/>
    <x v="4"/>
    <x v="21"/>
    <m/>
    <m/>
    <n v="984"/>
  </r>
  <r>
    <x v="197"/>
    <n v="1600"/>
    <x v="31"/>
    <x v="3"/>
    <s v="Koolituskulud (sh koolituslähetus)"/>
    <s v="2"/>
    <x v="1"/>
    <m/>
    <m/>
    <s v="24"/>
    <s v="Sotsiaalteenistus"/>
    <x v="39"/>
    <x v="4"/>
    <x v="39"/>
    <s v=""/>
    <s v=""/>
    <x v="4"/>
    <x v="21"/>
    <m/>
    <m/>
    <n v="1600"/>
  </r>
  <r>
    <x v="198"/>
    <n v="240"/>
    <x v="18"/>
    <x v="4"/>
    <s v="MAKSU-, LÕIVU-, TRAHVIKULUD"/>
    <s v="2"/>
    <x v="1"/>
    <m/>
    <m/>
    <s v="24"/>
    <s v="Sotsiaalteenistus"/>
    <x v="39"/>
    <x v="4"/>
    <x v="39"/>
    <s v=""/>
    <s v=""/>
    <x v="5"/>
    <x v="21"/>
    <m/>
    <m/>
    <n v="240"/>
  </r>
  <r>
    <x v="199"/>
    <n v="3000"/>
    <x v="14"/>
    <x v="3"/>
    <s v="Isikliku sõiduauto kompensatsioon"/>
    <s v="2"/>
    <x v="1"/>
    <m/>
    <m/>
    <s v="24"/>
    <s v="Sotsiaalteenistus"/>
    <x v="39"/>
    <x v="4"/>
    <x v="39"/>
    <s v=""/>
    <s v=""/>
    <x v="4"/>
    <x v="21"/>
    <m/>
    <m/>
    <n v="3000"/>
  </r>
  <r>
    <x v="4"/>
    <n v="32454.76"/>
    <x v="4"/>
    <x v="2"/>
    <s v="Tööjõukuludega kaasnevad maksud ja sotsiaalkindlustusmaksed"/>
    <s v="2"/>
    <x v="1"/>
    <m/>
    <m/>
    <s v="24"/>
    <s v="Sotsiaalteenistus"/>
    <x v="39"/>
    <x v="4"/>
    <x v="39"/>
    <s v=""/>
    <s v=""/>
    <x v="3"/>
    <x v="21"/>
    <m/>
    <m/>
    <n v="32454.76"/>
  </r>
  <r>
    <x v="200"/>
    <n v="26400"/>
    <x v="21"/>
    <x v="2"/>
    <s v=" Avaliku teenistuse ametnike töötasu"/>
    <s v="2"/>
    <x v="1"/>
    <m/>
    <m/>
    <s v="24"/>
    <s v="Sotsiaalteenistus"/>
    <x v="39"/>
    <x v="4"/>
    <x v="39"/>
    <s v=""/>
    <s v=""/>
    <x v="3"/>
    <x v="21"/>
    <m/>
    <m/>
    <n v="26400"/>
  </r>
  <r>
    <x v="201"/>
    <n v="15720"/>
    <x v="21"/>
    <x v="2"/>
    <s v=" Avaliku teenistuse ametnike töötasu"/>
    <s v="2"/>
    <x v="1"/>
    <m/>
    <m/>
    <s v="24"/>
    <s v="Sotsiaalteenistus"/>
    <x v="39"/>
    <x v="4"/>
    <x v="39"/>
    <s v=""/>
    <s v=""/>
    <x v="3"/>
    <x v="21"/>
    <m/>
    <m/>
    <n v="15720"/>
  </r>
  <r>
    <x v="202"/>
    <n v="1600"/>
    <x v="28"/>
    <x v="3"/>
    <s v="Mitmesugused majanduskulud"/>
    <s v="2"/>
    <x v="1"/>
    <m/>
    <m/>
    <s v="24"/>
    <s v="Sotsiaalteenistus"/>
    <x v="39"/>
    <x v="4"/>
    <x v="39"/>
    <s v=""/>
    <s v=""/>
    <x v="4"/>
    <x v="21"/>
    <m/>
    <m/>
    <n v="1600"/>
  </r>
  <r>
    <x v="203"/>
    <n v="1700"/>
    <x v="12"/>
    <x v="3"/>
    <s v="Kindlustus"/>
    <s v="2"/>
    <x v="1"/>
    <m/>
    <m/>
    <s v="24"/>
    <s v="Sotsiaalteenistus"/>
    <x v="39"/>
    <x v="4"/>
    <x v="39"/>
    <s v=""/>
    <s v=""/>
    <x v="4"/>
    <x v="21"/>
    <m/>
    <m/>
    <n v="1700"/>
  </r>
  <r>
    <x v="204"/>
    <n v="6480"/>
    <x v="11"/>
    <x v="3"/>
    <s v="Kütus"/>
    <s v="2"/>
    <x v="1"/>
    <m/>
    <m/>
    <s v="24"/>
    <s v="Sotsiaalteenistus"/>
    <x v="39"/>
    <x v="4"/>
    <x v="39"/>
    <s v=""/>
    <s v=""/>
    <x v="4"/>
    <x v="21"/>
    <m/>
    <m/>
    <n v="6480"/>
  </r>
  <r>
    <x v="205"/>
    <n v="500"/>
    <x v="17"/>
    <x v="2"/>
    <s v="Töötasud võlaõiguslike lepingute alusel"/>
    <s v="2"/>
    <x v="1"/>
    <m/>
    <m/>
    <s v="24"/>
    <s v="Sotsiaalteenistus"/>
    <x v="39"/>
    <x v="4"/>
    <x v="39"/>
    <s v=""/>
    <s v=""/>
    <x v="3"/>
    <x v="21"/>
    <m/>
    <m/>
    <n v="500"/>
  </r>
  <r>
    <x v="206"/>
    <n v="18720"/>
    <x v="21"/>
    <x v="2"/>
    <s v=" Avaliku teenistuse ametnike töötasu"/>
    <s v="2"/>
    <x v="1"/>
    <m/>
    <m/>
    <s v="24"/>
    <s v="Sotsiaalteenistus"/>
    <x v="39"/>
    <x v="4"/>
    <x v="39"/>
    <s v=""/>
    <s v=""/>
    <x v="3"/>
    <x v="21"/>
    <m/>
    <m/>
    <n v="18720"/>
  </r>
  <r>
    <x v="201"/>
    <n v="15960"/>
    <x v="21"/>
    <x v="2"/>
    <s v=" Avaliku teenistuse ametnike töötasu"/>
    <s v="2"/>
    <x v="1"/>
    <m/>
    <m/>
    <s v="24"/>
    <s v="Sotsiaalteenistus"/>
    <x v="39"/>
    <x v="4"/>
    <x v="39"/>
    <s v=""/>
    <s v=""/>
    <x v="3"/>
    <x v="21"/>
    <m/>
    <m/>
    <n v="15960"/>
  </r>
  <r>
    <x v="201"/>
    <n v="18720"/>
    <x v="21"/>
    <x v="2"/>
    <s v=" Avaliku teenistuse ametnike töötasu"/>
    <s v="2"/>
    <x v="1"/>
    <m/>
    <m/>
    <s v="24"/>
    <s v="Sotsiaalteenistus"/>
    <x v="39"/>
    <x v="4"/>
    <x v="39"/>
    <s v=""/>
    <s v=""/>
    <x v="3"/>
    <x v="21"/>
    <m/>
    <m/>
    <n v="18720"/>
  </r>
  <r>
    <x v="207"/>
    <n v="3192"/>
    <x v="13"/>
    <x v="3"/>
    <s v="Sõidukite kasutusrent"/>
    <s v="2"/>
    <x v="1"/>
    <m/>
    <m/>
    <s v="24"/>
    <s v="Sotsiaalteenistus"/>
    <x v="39"/>
    <x v="4"/>
    <x v="39"/>
    <s v=""/>
    <s v=""/>
    <x v="4"/>
    <x v="21"/>
    <m/>
    <m/>
    <n v="3192"/>
  </r>
  <r>
    <x v="24"/>
    <n v="3526.2"/>
    <x v="13"/>
    <x v="3"/>
    <s v="Sõidukite kasutusrent"/>
    <s v="2"/>
    <x v="1"/>
    <m/>
    <m/>
    <s v="24"/>
    <s v="Sotsiaalteenistus"/>
    <x v="39"/>
    <x v="4"/>
    <x v="39"/>
    <s v=""/>
    <s v=""/>
    <x v="4"/>
    <x v="21"/>
    <m/>
    <m/>
    <n v="3526.2"/>
  </r>
  <r>
    <x v="54"/>
    <n v="700"/>
    <x v="15"/>
    <x v="3"/>
    <s v="Õppevahendite ja koolituse kulud"/>
    <s v="2"/>
    <x v="1"/>
    <m/>
    <m/>
    <s v="41"/>
    <s v="Muuga-Laekvere Kool"/>
    <x v="40"/>
    <x v="1"/>
    <x v="40"/>
    <s v=""/>
    <s v=""/>
    <x v="4"/>
    <x v="6"/>
    <m/>
    <m/>
    <n v="700"/>
  </r>
  <r>
    <x v="208"/>
    <n v="438"/>
    <x v="15"/>
    <x v="3"/>
    <s v="Õppevahendite ja koolituse kulud"/>
    <s v="2"/>
    <x v="1"/>
    <m/>
    <m/>
    <s v="41"/>
    <s v="Muuga-Laekvere Kool"/>
    <x v="40"/>
    <x v="1"/>
    <x v="40"/>
    <s v=""/>
    <s v=""/>
    <x v="4"/>
    <x v="6"/>
    <m/>
    <m/>
    <n v="438"/>
  </r>
  <r>
    <x v="209"/>
    <n v="2250"/>
    <x v="11"/>
    <x v="3"/>
    <s v="Kütus"/>
    <s v="2"/>
    <x v="1"/>
    <m/>
    <m/>
    <s v="41"/>
    <s v="Muuga-Laekvere Kool"/>
    <x v="40"/>
    <x v="1"/>
    <x v="40"/>
    <s v=""/>
    <s v=""/>
    <x v="4"/>
    <x v="6"/>
    <m/>
    <m/>
    <n v="2250"/>
  </r>
  <r>
    <x v="210"/>
    <n v="95"/>
    <x v="12"/>
    <x v="3"/>
    <s v="Kindlustus"/>
    <s v="2"/>
    <x v="1"/>
    <m/>
    <m/>
    <s v="41"/>
    <s v="Muuga-Laekvere Kool"/>
    <x v="40"/>
    <x v="1"/>
    <x v="40"/>
    <s v=""/>
    <s v=""/>
    <x v="4"/>
    <x v="6"/>
    <m/>
    <m/>
    <n v="95"/>
  </r>
  <r>
    <x v="211"/>
    <n v="345"/>
    <x v="30"/>
    <x v="3"/>
    <s v="Sõidukite ülalpidamise kulud"/>
    <s v="2"/>
    <x v="1"/>
    <m/>
    <m/>
    <s v="41"/>
    <s v="Muuga-Laekvere Kool"/>
    <x v="40"/>
    <x v="1"/>
    <x v="40"/>
    <s v=""/>
    <s v=""/>
    <x v="4"/>
    <x v="6"/>
    <m/>
    <m/>
    <n v="345"/>
  </r>
  <r>
    <x v="212"/>
    <n v="360"/>
    <x v="12"/>
    <x v="3"/>
    <s v="Kindlustus"/>
    <s v="2"/>
    <x v="1"/>
    <m/>
    <m/>
    <s v="41"/>
    <s v="Muuga-Laekvere Kool"/>
    <x v="40"/>
    <x v="1"/>
    <x v="40"/>
    <s v=""/>
    <s v=""/>
    <x v="4"/>
    <x v="6"/>
    <m/>
    <m/>
    <n v="360"/>
  </r>
  <r>
    <x v="213"/>
    <n v="350"/>
    <x v="30"/>
    <x v="3"/>
    <s v="Sõidukite ülalpidamise kulud"/>
    <s v="2"/>
    <x v="1"/>
    <m/>
    <m/>
    <s v="41"/>
    <s v="Muuga-Laekvere Kool"/>
    <x v="40"/>
    <x v="1"/>
    <x v="40"/>
    <s v=""/>
    <s v=""/>
    <x v="4"/>
    <x v="6"/>
    <m/>
    <m/>
    <n v="350"/>
  </r>
  <r>
    <x v="214"/>
    <n v="704"/>
    <x v="14"/>
    <x v="3"/>
    <s v="Isikliku sõiduauto kompensatsioon"/>
    <s v="2"/>
    <x v="1"/>
    <m/>
    <m/>
    <s v="41"/>
    <s v="Muuga-Laekvere Kool"/>
    <x v="40"/>
    <x v="1"/>
    <x v="40"/>
    <s v=""/>
    <s v=""/>
    <x v="4"/>
    <x v="6"/>
    <m/>
    <m/>
    <n v="704"/>
  </r>
  <r>
    <x v="215"/>
    <n v="704"/>
    <x v="14"/>
    <x v="3"/>
    <s v="Isikliku sõiduauto kompensatsioon"/>
    <s v="2"/>
    <x v="1"/>
    <m/>
    <m/>
    <s v="41"/>
    <s v="Muuga-Laekvere Kool"/>
    <x v="40"/>
    <x v="1"/>
    <x v="40"/>
    <s v=""/>
    <s v=""/>
    <x v="4"/>
    <x v="6"/>
    <m/>
    <m/>
    <n v="704"/>
  </r>
  <r>
    <x v="216"/>
    <n v="440"/>
    <x v="14"/>
    <x v="3"/>
    <s v="Isikliku sõiduauto kompensatsioon"/>
    <s v="2"/>
    <x v="1"/>
    <m/>
    <m/>
    <s v="41"/>
    <s v="Muuga-Laekvere Kool"/>
    <x v="40"/>
    <x v="1"/>
    <x v="40"/>
    <s v=""/>
    <s v=""/>
    <x v="4"/>
    <x v="6"/>
    <m/>
    <m/>
    <n v="440"/>
  </r>
  <r>
    <x v="35"/>
    <n v="7584"/>
    <x v="3"/>
    <x v="2"/>
    <s v="Töötajate töötasud"/>
    <s v="2"/>
    <x v="1"/>
    <m/>
    <m/>
    <s v="41"/>
    <s v="Muuga-Laekvere Kool"/>
    <x v="40"/>
    <x v="1"/>
    <x v="40"/>
    <s v=""/>
    <s v=""/>
    <x v="3"/>
    <x v="6"/>
    <m/>
    <m/>
    <n v="7584"/>
  </r>
  <r>
    <x v="4"/>
    <n v="21426.83"/>
    <x v="4"/>
    <x v="2"/>
    <s v="Tööjõukuludega kaasnevad maksud ja sotsiaalkindlustusmaksed"/>
    <s v="2"/>
    <x v="1"/>
    <m/>
    <m/>
    <s v="41"/>
    <s v="Muuga-Laekvere Kool"/>
    <x v="40"/>
    <x v="1"/>
    <x v="40"/>
    <s v=""/>
    <s v=""/>
    <x v="3"/>
    <x v="6"/>
    <m/>
    <m/>
    <n v="21426.83"/>
  </r>
  <r>
    <x v="47"/>
    <n v="2040"/>
    <x v="3"/>
    <x v="2"/>
    <s v="Töötajate töötasud"/>
    <s v="2"/>
    <x v="1"/>
    <m/>
    <m/>
    <s v="41"/>
    <s v="Muuga-Laekvere Kool"/>
    <x v="40"/>
    <x v="1"/>
    <x v="40"/>
    <s v=""/>
    <s v=""/>
    <x v="3"/>
    <x v="6"/>
    <m/>
    <m/>
    <n v="2040"/>
  </r>
  <r>
    <x v="46"/>
    <n v="7848"/>
    <x v="3"/>
    <x v="2"/>
    <s v="Töötajate töötasud"/>
    <s v="2"/>
    <x v="1"/>
    <m/>
    <m/>
    <s v="41"/>
    <s v="Muuga-Laekvere Kool"/>
    <x v="40"/>
    <x v="1"/>
    <x v="40"/>
    <s v=""/>
    <s v=""/>
    <x v="3"/>
    <x v="6"/>
    <m/>
    <m/>
    <n v="7848"/>
  </r>
  <r>
    <x v="28"/>
    <n v="7824"/>
    <x v="3"/>
    <x v="2"/>
    <s v="Töötajate töötasud"/>
    <s v="2"/>
    <x v="1"/>
    <m/>
    <m/>
    <s v="32"/>
    <s v="Kulina Lasteaed"/>
    <x v="36"/>
    <x v="1"/>
    <x v="36"/>
    <s v=""/>
    <s v=""/>
    <x v="3"/>
    <x v="1"/>
    <m/>
    <m/>
    <n v="7824"/>
  </r>
  <r>
    <x v="217"/>
    <n v="7890"/>
    <x v="3"/>
    <x v="2"/>
    <s v="Töötajate töötasud"/>
    <s v="2"/>
    <x v="1"/>
    <m/>
    <m/>
    <s v="41"/>
    <s v="Muuga-Laekvere Kool"/>
    <x v="40"/>
    <x v="1"/>
    <x v="40"/>
    <s v=""/>
    <s v=""/>
    <x v="3"/>
    <x v="6"/>
    <m/>
    <m/>
    <n v="7890"/>
  </r>
  <r>
    <x v="46"/>
    <n v="7848"/>
    <x v="3"/>
    <x v="2"/>
    <s v="Töötajate töötasud"/>
    <s v="2"/>
    <x v="1"/>
    <m/>
    <m/>
    <s v="41"/>
    <s v="Muuga-Laekvere Kool"/>
    <x v="40"/>
    <x v="1"/>
    <x v="40"/>
    <s v=""/>
    <s v=""/>
    <x v="3"/>
    <x v="6"/>
    <m/>
    <m/>
    <n v="7848"/>
  </r>
  <r>
    <x v="41"/>
    <n v="9660"/>
    <x v="3"/>
    <x v="2"/>
    <s v="Töötajate töötasud"/>
    <s v="2"/>
    <x v="1"/>
    <m/>
    <m/>
    <s v="41"/>
    <s v="Muuga-Laekvere Kool"/>
    <x v="40"/>
    <x v="1"/>
    <x v="40"/>
    <s v=""/>
    <s v=""/>
    <x v="3"/>
    <x v="6"/>
    <m/>
    <m/>
    <n v="9660"/>
  </r>
  <r>
    <x v="68"/>
    <n v="11835"/>
    <x v="3"/>
    <x v="2"/>
    <s v="Töötajate töötasud"/>
    <s v="2"/>
    <x v="1"/>
    <m/>
    <m/>
    <s v="41"/>
    <s v="Muuga-Laekvere Kool"/>
    <x v="40"/>
    <x v="1"/>
    <x v="40"/>
    <s v=""/>
    <s v=""/>
    <x v="3"/>
    <x v="6"/>
    <m/>
    <m/>
    <n v="11835"/>
  </r>
  <r>
    <x v="6"/>
    <n v="5640"/>
    <x v="6"/>
    <x v="3"/>
    <s v="Elekter"/>
    <s v="2"/>
    <x v="1"/>
    <m/>
    <m/>
    <s v="41"/>
    <s v="Muuga-Laekvere Kool"/>
    <x v="40"/>
    <x v="1"/>
    <x v="40"/>
    <s v=""/>
    <s v=""/>
    <x v="4"/>
    <x v="6"/>
    <m/>
    <m/>
    <n v="5640"/>
  </r>
  <r>
    <x v="48"/>
    <n v="18000"/>
    <x v="5"/>
    <x v="3"/>
    <s v="Küte ja soojusenergia"/>
    <s v="2"/>
    <x v="1"/>
    <m/>
    <m/>
    <s v="41"/>
    <s v="Muuga-Laekvere Kool"/>
    <x v="40"/>
    <x v="1"/>
    <x v="40"/>
    <s v=""/>
    <s v=""/>
    <x v="4"/>
    <x v="6"/>
    <m/>
    <m/>
    <n v="18000"/>
  </r>
  <r>
    <x v="218"/>
    <n v="360"/>
    <x v="10"/>
    <x v="3"/>
    <s v="Info- ja kommunikatsioonitehnoloogia kulud"/>
    <s v="2"/>
    <x v="1"/>
    <m/>
    <m/>
    <s v="41"/>
    <s v="Muuga-Laekvere Kool"/>
    <x v="40"/>
    <x v="1"/>
    <x v="40"/>
    <s v=""/>
    <s v=""/>
    <x v="4"/>
    <x v="6"/>
    <m/>
    <m/>
    <n v="360"/>
  </r>
  <r>
    <x v="7"/>
    <n v="1870"/>
    <x v="7"/>
    <x v="3"/>
    <s v="Vesi ja kanalisatsioon"/>
    <s v="2"/>
    <x v="1"/>
    <m/>
    <m/>
    <s v="41"/>
    <s v="Muuga-Laekvere Kool"/>
    <x v="40"/>
    <x v="1"/>
    <x v="40"/>
    <s v=""/>
    <s v=""/>
    <x v="4"/>
    <x v="6"/>
    <m/>
    <m/>
    <n v="1870"/>
  </r>
  <r>
    <x v="219"/>
    <n v="345.6"/>
    <x v="8"/>
    <x v="3"/>
    <s v="Kinnistute, hoonete ja ruumide majandamiskulud"/>
    <s v="2"/>
    <x v="1"/>
    <m/>
    <m/>
    <s v="41"/>
    <s v="Muuga-Laekvere Kool"/>
    <x v="40"/>
    <x v="1"/>
    <x v="40"/>
    <s v=""/>
    <s v=""/>
    <x v="4"/>
    <x v="6"/>
    <m/>
    <m/>
    <n v="345.6"/>
  </r>
  <r>
    <x v="220"/>
    <n v="221.64"/>
    <x v="8"/>
    <x v="3"/>
    <s v="Kinnistute, hoonete ja ruumide majandamiskulud"/>
    <s v="2"/>
    <x v="1"/>
    <m/>
    <m/>
    <s v="41"/>
    <s v="Muuga-Laekvere Kool"/>
    <x v="40"/>
    <x v="1"/>
    <x v="40"/>
    <s v=""/>
    <s v=""/>
    <x v="4"/>
    <x v="6"/>
    <m/>
    <m/>
    <n v="221.64"/>
  </r>
  <r>
    <x v="56"/>
    <n v="102.64"/>
    <x v="8"/>
    <x v="3"/>
    <s v="Kinnistute, hoonete ja ruumide majandamiskulud"/>
    <s v="2"/>
    <x v="1"/>
    <m/>
    <m/>
    <s v="41"/>
    <s v="Muuga-Laekvere Kool"/>
    <x v="40"/>
    <x v="1"/>
    <x v="40"/>
    <s v=""/>
    <s v=""/>
    <x v="4"/>
    <x v="6"/>
    <m/>
    <m/>
    <n v="102.64"/>
  </r>
  <r>
    <x v="221"/>
    <n v="720"/>
    <x v="10"/>
    <x v="3"/>
    <s v="Info- ja kommunikatsioonitehnoloogia kulud"/>
    <s v="2"/>
    <x v="1"/>
    <m/>
    <m/>
    <s v="41"/>
    <s v="Muuga-Laekvere Kool"/>
    <x v="40"/>
    <x v="1"/>
    <x v="40"/>
    <s v=""/>
    <s v=""/>
    <x v="4"/>
    <x v="6"/>
    <m/>
    <m/>
    <n v="720"/>
  </r>
  <r>
    <x v="222"/>
    <n v="360"/>
    <x v="8"/>
    <x v="3"/>
    <s v="Kinnistute, hoonete ja ruumide majandamiskulud"/>
    <s v="2"/>
    <x v="1"/>
    <m/>
    <m/>
    <s v="41"/>
    <s v="Muuga-Laekvere Kool"/>
    <x v="40"/>
    <x v="1"/>
    <x v="40"/>
    <s v=""/>
    <s v=""/>
    <x v="4"/>
    <x v="6"/>
    <m/>
    <m/>
    <n v="360"/>
  </r>
  <r>
    <x v="223"/>
    <n v="114.48"/>
    <x v="9"/>
    <x v="3"/>
    <s v="Administreerimiskulud"/>
    <s v="2"/>
    <x v="1"/>
    <m/>
    <m/>
    <s v="41"/>
    <s v="Muuga-Laekvere Kool"/>
    <x v="40"/>
    <x v="1"/>
    <x v="40"/>
    <s v=""/>
    <s v=""/>
    <x v="4"/>
    <x v="6"/>
    <m/>
    <m/>
    <n v="114.48"/>
  </r>
  <r>
    <x v="13"/>
    <n v="9144"/>
    <x v="3"/>
    <x v="2"/>
    <s v="Töötajate töötasud"/>
    <s v="2"/>
    <x v="1"/>
    <m/>
    <m/>
    <s v="53"/>
    <s v="Roela Raamatukogu"/>
    <x v="41"/>
    <x v="2"/>
    <x v="41"/>
    <s v=""/>
    <s v=""/>
    <x v="3"/>
    <x v="5"/>
    <m/>
    <m/>
    <n v="9144"/>
  </r>
  <r>
    <x v="4"/>
    <n v="3090.67"/>
    <x v="4"/>
    <x v="2"/>
    <s v="Tööjõukuludega kaasnevad maksud ja sotsiaalkindlustusmaksed"/>
    <s v="2"/>
    <x v="1"/>
    <m/>
    <m/>
    <s v="53"/>
    <s v="Roela Raamatukogu"/>
    <x v="41"/>
    <x v="2"/>
    <x v="41"/>
    <s v=""/>
    <s v=""/>
    <x v="3"/>
    <x v="5"/>
    <m/>
    <m/>
    <n v="3090.67"/>
  </r>
  <r>
    <x v="15"/>
    <n v="240"/>
    <x v="10"/>
    <x v="3"/>
    <s v="Info- ja kommunikatsioonitehnoloogia kulud"/>
    <s v="2"/>
    <x v="1"/>
    <m/>
    <m/>
    <s v="53"/>
    <s v="Roela Raamatukogu"/>
    <x v="41"/>
    <x v="2"/>
    <x v="41"/>
    <s v=""/>
    <s v=""/>
    <x v="4"/>
    <x v="5"/>
    <m/>
    <m/>
    <n v="240"/>
  </r>
  <r>
    <x v="14"/>
    <n v="100"/>
    <x v="9"/>
    <x v="3"/>
    <s v="Administreerimiskulud"/>
    <s v="2"/>
    <x v="1"/>
    <m/>
    <m/>
    <s v="53"/>
    <s v="Roela Raamatukogu"/>
    <x v="41"/>
    <x v="2"/>
    <x v="41"/>
    <s v=""/>
    <s v=""/>
    <x v="4"/>
    <x v="5"/>
    <m/>
    <m/>
    <n v="100"/>
  </r>
  <r>
    <x v="224"/>
    <n v="8000"/>
    <x v="8"/>
    <x v="3"/>
    <s v="Kinnistute, hoonete ja ruumide majandamiskulud"/>
    <s v="2"/>
    <x v="1"/>
    <m/>
    <m/>
    <s v="280"/>
    <s v="Roela, Tudu, Viru-Jaagupi teeninduspiirkond"/>
    <x v="42"/>
    <x v="0"/>
    <x v="42"/>
    <s v=""/>
    <s v=""/>
    <x v="4"/>
    <x v="3"/>
    <m/>
    <m/>
    <n v="8000"/>
  </r>
  <r>
    <x v="173"/>
    <n v="2760"/>
    <x v="10"/>
    <x v="3"/>
    <s v="Info- ja kommunikatsioonitehnoloogia kulud"/>
    <s v="2"/>
    <x v="1"/>
    <m/>
    <m/>
    <s v="280"/>
    <s v="Roela, Tudu, Viru-Jaagupi teeninduspiirkond"/>
    <x v="42"/>
    <x v="0"/>
    <x v="42"/>
    <s v=""/>
    <s v=""/>
    <x v="4"/>
    <x v="3"/>
    <m/>
    <m/>
    <n v="2760"/>
  </r>
  <r>
    <x v="225"/>
    <n v="468"/>
    <x v="8"/>
    <x v="3"/>
    <s v="Kinnistute, hoonete ja ruumide majandamiskulud"/>
    <s v="2"/>
    <x v="1"/>
    <m/>
    <m/>
    <s v="280"/>
    <s v="Roela, Tudu, Viru-Jaagupi teeninduspiirkond"/>
    <x v="42"/>
    <x v="0"/>
    <x v="42"/>
    <s v=""/>
    <s v=""/>
    <x v="4"/>
    <x v="3"/>
    <m/>
    <m/>
    <n v="468"/>
  </r>
  <r>
    <x v="116"/>
    <n v="3600"/>
    <x v="11"/>
    <x v="3"/>
    <s v="Kütus"/>
    <s v="2"/>
    <x v="1"/>
    <m/>
    <m/>
    <s v="280"/>
    <s v="Roela, Tudu, Viru-Jaagupi teeninduspiirkond"/>
    <x v="42"/>
    <x v="0"/>
    <x v="42"/>
    <s v=""/>
    <s v=""/>
    <x v="4"/>
    <x v="3"/>
    <m/>
    <m/>
    <n v="3600"/>
  </r>
  <r>
    <x v="226"/>
    <n v="351"/>
    <x v="8"/>
    <x v="3"/>
    <s v="Kinnistute, hoonete ja ruumide majandamiskulud"/>
    <s v="2"/>
    <x v="1"/>
    <m/>
    <m/>
    <s v="280"/>
    <s v="Roela, Tudu, Viru-Jaagupi teeninduspiirkond"/>
    <x v="42"/>
    <x v="0"/>
    <x v="42"/>
    <s v=""/>
    <s v=""/>
    <x v="4"/>
    <x v="3"/>
    <m/>
    <m/>
    <n v="351"/>
  </r>
  <r>
    <x v="169"/>
    <n v="900"/>
    <x v="8"/>
    <x v="3"/>
    <s v="Kinnistute, hoonete ja ruumide majandamiskulud"/>
    <s v="2"/>
    <x v="1"/>
    <m/>
    <m/>
    <s v="280"/>
    <s v="Roela, Tudu, Viru-Jaagupi teeninduspiirkond"/>
    <x v="42"/>
    <x v="0"/>
    <x v="42"/>
    <s v=""/>
    <s v=""/>
    <x v="4"/>
    <x v="3"/>
    <m/>
    <m/>
    <n v="900"/>
  </r>
  <r>
    <x v="227"/>
    <n v="384"/>
    <x v="8"/>
    <x v="3"/>
    <s v="Kinnistute, hoonete ja ruumide majandamiskulud"/>
    <s v="2"/>
    <x v="1"/>
    <m/>
    <m/>
    <s v="280"/>
    <s v="Roela, Tudu, Viru-Jaagupi teeninduspiirkond"/>
    <x v="42"/>
    <x v="0"/>
    <x v="42"/>
    <s v=""/>
    <s v=""/>
    <x v="4"/>
    <x v="3"/>
    <m/>
    <m/>
    <n v="384"/>
  </r>
  <r>
    <x v="228"/>
    <n v="9700"/>
    <x v="8"/>
    <x v="3"/>
    <s v="Kinnistute, hoonete ja ruumide majandamiskulud"/>
    <s v="2"/>
    <x v="1"/>
    <m/>
    <m/>
    <s v="280"/>
    <s v="Roela, Tudu, Viru-Jaagupi teeninduspiirkond"/>
    <x v="42"/>
    <x v="0"/>
    <x v="42"/>
    <s v=""/>
    <s v=""/>
    <x v="4"/>
    <x v="3"/>
    <m/>
    <m/>
    <n v="9700"/>
  </r>
  <r>
    <x v="5"/>
    <m/>
    <x v="8"/>
    <x v="3"/>
    <s v="Kinnistute, hoonete ja ruumide majandamiskulud"/>
    <s v="2"/>
    <x v="1"/>
    <m/>
    <m/>
    <s v="280"/>
    <s v="Roela, Tudu, Viru-Jaagupi teeninduspiirkond"/>
    <x v="42"/>
    <x v="0"/>
    <x v="42"/>
    <s v=""/>
    <s v=""/>
    <x v="4"/>
    <x v="3"/>
    <m/>
    <m/>
    <n v="0"/>
  </r>
  <r>
    <x v="229"/>
    <n v="1500"/>
    <x v="8"/>
    <x v="3"/>
    <s v="Kinnistute, hoonete ja ruumide majandamiskulud"/>
    <s v="2"/>
    <x v="1"/>
    <m/>
    <m/>
    <s v="280"/>
    <s v="Roela, Tudu, Viru-Jaagupi teeninduspiirkond"/>
    <x v="42"/>
    <x v="0"/>
    <x v="42"/>
    <s v=""/>
    <s v=""/>
    <x v="4"/>
    <x v="3"/>
    <m/>
    <m/>
    <n v="1500"/>
  </r>
  <r>
    <x v="230"/>
    <n v="496.8"/>
    <x v="8"/>
    <x v="3"/>
    <s v="Kinnistute, hoonete ja ruumide majandamiskulud"/>
    <s v="2"/>
    <x v="1"/>
    <m/>
    <m/>
    <s v="280"/>
    <s v="Roela, Tudu, Viru-Jaagupi teeninduspiirkond"/>
    <x v="42"/>
    <x v="0"/>
    <x v="42"/>
    <s v=""/>
    <s v=""/>
    <x v="4"/>
    <x v="3"/>
    <m/>
    <m/>
    <n v="496.8"/>
  </r>
  <r>
    <x v="231"/>
    <n v="13000"/>
    <x v="8"/>
    <x v="3"/>
    <s v="Kinnistute, hoonete ja ruumide majandamiskulud"/>
    <s v="2"/>
    <x v="1"/>
    <m/>
    <m/>
    <s v="280"/>
    <s v="Roela, Tudu, Viru-Jaagupi teeninduspiirkond"/>
    <x v="42"/>
    <x v="0"/>
    <x v="42"/>
    <s v=""/>
    <s v=""/>
    <x v="4"/>
    <x v="3"/>
    <m/>
    <m/>
    <n v="13000"/>
  </r>
  <r>
    <x v="232"/>
    <n v="960"/>
    <x v="8"/>
    <x v="3"/>
    <s v="Kinnistute, hoonete ja ruumide majandamiskulud"/>
    <s v="2"/>
    <x v="1"/>
    <m/>
    <m/>
    <s v="280"/>
    <s v="Roela, Tudu, Viru-Jaagupi teeninduspiirkond"/>
    <x v="42"/>
    <x v="0"/>
    <x v="42"/>
    <s v=""/>
    <s v=""/>
    <x v="4"/>
    <x v="3"/>
    <m/>
    <m/>
    <n v="960"/>
  </r>
  <r>
    <x v="233"/>
    <n v="960"/>
    <x v="11"/>
    <x v="3"/>
    <s v="Kütus"/>
    <s v="2"/>
    <x v="1"/>
    <m/>
    <m/>
    <s v="280"/>
    <s v="Roela, Tudu, Viru-Jaagupi teeninduspiirkond"/>
    <x v="42"/>
    <x v="0"/>
    <x v="42"/>
    <s v=""/>
    <s v=""/>
    <x v="4"/>
    <x v="3"/>
    <m/>
    <m/>
    <n v="960"/>
  </r>
  <r>
    <x v="4"/>
    <n v="14283.88"/>
    <x v="4"/>
    <x v="2"/>
    <s v="Tööjõukuludega kaasnevad maksud ja sotsiaalkindlustusmaksed"/>
    <s v="2"/>
    <x v="1"/>
    <m/>
    <m/>
    <s v="280"/>
    <s v="Roela, Tudu, Viru-Jaagupi teeninduspiirkond"/>
    <x v="42"/>
    <x v="0"/>
    <x v="42"/>
    <s v=""/>
    <s v=""/>
    <x v="3"/>
    <x v="3"/>
    <m/>
    <m/>
    <n v="14283.88"/>
  </r>
  <r>
    <x v="234"/>
    <n v="732.96"/>
    <x v="10"/>
    <x v="3"/>
    <s v="Info- ja kommunikatsioonitehnoloogia kulud"/>
    <s v="2"/>
    <x v="1"/>
    <m/>
    <m/>
    <s v="280"/>
    <s v="Roela, Tudu, Viru-Jaagupi teeninduspiirkond"/>
    <x v="42"/>
    <x v="0"/>
    <x v="42"/>
    <s v=""/>
    <s v=""/>
    <x v="4"/>
    <x v="3"/>
    <m/>
    <m/>
    <n v="732.96"/>
  </r>
  <r>
    <x v="235"/>
    <n v="1920"/>
    <x v="10"/>
    <x v="3"/>
    <s v="Info- ja kommunikatsioonitehnoloogia kulud"/>
    <s v="2"/>
    <x v="1"/>
    <m/>
    <m/>
    <s v="280"/>
    <s v="Roela, Tudu, Viru-Jaagupi teeninduspiirkond"/>
    <x v="42"/>
    <x v="0"/>
    <x v="42"/>
    <s v=""/>
    <s v=""/>
    <x v="4"/>
    <x v="3"/>
    <m/>
    <m/>
    <n v="1920"/>
  </r>
  <r>
    <x v="236"/>
    <n v="1320"/>
    <x v="9"/>
    <x v="3"/>
    <s v="Administreerimiskulud"/>
    <s v="2"/>
    <x v="1"/>
    <m/>
    <m/>
    <s v="280"/>
    <s v="Roela, Tudu, Viru-Jaagupi teeninduspiirkond"/>
    <x v="42"/>
    <x v="0"/>
    <x v="42"/>
    <s v=""/>
    <s v=""/>
    <x v="4"/>
    <x v="3"/>
    <m/>
    <m/>
    <n v="1320"/>
  </r>
  <r>
    <x v="237"/>
    <n v="216"/>
    <x v="10"/>
    <x v="3"/>
    <s v="Info- ja kommunikatsioonitehnoloogia kulud"/>
    <s v="2"/>
    <x v="1"/>
    <m/>
    <m/>
    <s v="280"/>
    <s v="Roela, Tudu, Viru-Jaagupi teeninduspiirkond"/>
    <x v="42"/>
    <x v="0"/>
    <x v="42"/>
    <s v=""/>
    <s v=""/>
    <x v="4"/>
    <x v="3"/>
    <m/>
    <m/>
    <n v="216"/>
  </r>
  <r>
    <x v="238"/>
    <n v="14.4"/>
    <x v="9"/>
    <x v="3"/>
    <s v="Administreerimiskulud"/>
    <s v="2"/>
    <x v="1"/>
    <m/>
    <m/>
    <s v="280"/>
    <s v="Roela, Tudu, Viru-Jaagupi teeninduspiirkond"/>
    <x v="42"/>
    <x v="0"/>
    <x v="42"/>
    <s v=""/>
    <s v=""/>
    <x v="4"/>
    <x v="3"/>
    <m/>
    <m/>
    <n v="14.4"/>
  </r>
  <r>
    <x v="239"/>
    <n v="302.39999999999998"/>
    <x v="9"/>
    <x v="3"/>
    <s v="Administreerimiskulud"/>
    <s v="2"/>
    <x v="1"/>
    <m/>
    <m/>
    <s v="280"/>
    <s v="Roela, Tudu, Viru-Jaagupi teeninduspiirkond"/>
    <x v="42"/>
    <x v="0"/>
    <x v="42"/>
    <s v=""/>
    <s v=""/>
    <x v="4"/>
    <x v="3"/>
    <m/>
    <m/>
    <n v="302.39999999999998"/>
  </r>
  <r>
    <x v="240"/>
    <n v="3000"/>
    <x v="8"/>
    <x v="3"/>
    <s v="Kinnistute, hoonete ja ruumide majandamiskulud"/>
    <s v="2"/>
    <x v="1"/>
    <m/>
    <m/>
    <s v="280"/>
    <s v="Roela, Tudu, Viru-Jaagupi teeninduspiirkond"/>
    <x v="42"/>
    <x v="0"/>
    <x v="42"/>
    <s v=""/>
    <s v=""/>
    <x v="4"/>
    <x v="3"/>
    <m/>
    <m/>
    <n v="3000"/>
  </r>
  <r>
    <x v="241"/>
    <n v="4500"/>
    <x v="8"/>
    <x v="3"/>
    <s v="Kinnistute, hoonete ja ruumide majandamiskulud"/>
    <s v="2"/>
    <x v="1"/>
    <m/>
    <m/>
    <s v="280"/>
    <s v="Roela, Tudu, Viru-Jaagupi teeninduspiirkond"/>
    <x v="42"/>
    <x v="0"/>
    <x v="42"/>
    <s v=""/>
    <s v=""/>
    <x v="4"/>
    <x v="3"/>
    <m/>
    <m/>
    <n v="4500"/>
  </r>
  <r>
    <x v="242"/>
    <n v="2400"/>
    <x v="8"/>
    <x v="3"/>
    <s v="Kinnistute, hoonete ja ruumide majandamiskulud"/>
    <s v="2"/>
    <x v="1"/>
    <m/>
    <m/>
    <s v="280"/>
    <s v="Roela, Tudu, Viru-Jaagupi teeninduspiirkond"/>
    <x v="42"/>
    <x v="0"/>
    <x v="42"/>
    <s v=""/>
    <s v=""/>
    <x v="4"/>
    <x v="3"/>
    <m/>
    <m/>
    <n v="2400"/>
  </r>
  <r>
    <x v="6"/>
    <n v="15000"/>
    <x v="6"/>
    <x v="3"/>
    <s v="Elekter"/>
    <s v="2"/>
    <x v="1"/>
    <m/>
    <m/>
    <s v="280"/>
    <s v="Roela, Tudu, Viru-Jaagupi teeninduspiirkond"/>
    <x v="42"/>
    <x v="0"/>
    <x v="42"/>
    <s v=""/>
    <s v=""/>
    <x v="4"/>
    <x v="3"/>
    <m/>
    <m/>
    <n v="15000"/>
  </r>
  <r>
    <x v="9"/>
    <n v="236.4"/>
    <x v="8"/>
    <x v="3"/>
    <s v="Kinnistute, hoonete ja ruumide majandamiskulud"/>
    <s v="2"/>
    <x v="1"/>
    <m/>
    <m/>
    <s v="280"/>
    <s v="Roela, Tudu, Viru-Jaagupi teeninduspiirkond"/>
    <x v="42"/>
    <x v="0"/>
    <x v="42"/>
    <s v=""/>
    <s v=""/>
    <x v="4"/>
    <x v="3"/>
    <m/>
    <m/>
    <n v="236.4"/>
  </r>
  <r>
    <x v="8"/>
    <n v="1200"/>
    <x v="8"/>
    <x v="3"/>
    <s v="Kinnistute, hoonete ja ruumide majandamiskulud"/>
    <s v="2"/>
    <x v="1"/>
    <m/>
    <m/>
    <s v="280"/>
    <s v="Roela, Tudu, Viru-Jaagupi teeninduspiirkond"/>
    <x v="42"/>
    <x v="0"/>
    <x v="42"/>
    <s v=""/>
    <s v=""/>
    <x v="4"/>
    <x v="3"/>
    <m/>
    <m/>
    <n v="1200"/>
  </r>
  <r>
    <x v="243"/>
    <n v="804"/>
    <x v="8"/>
    <x v="3"/>
    <s v="Kinnistute, hoonete ja ruumide majandamiskulud"/>
    <s v="2"/>
    <x v="1"/>
    <m/>
    <m/>
    <s v="280"/>
    <s v="Roela, Tudu, Viru-Jaagupi teeninduspiirkond"/>
    <x v="42"/>
    <x v="0"/>
    <x v="42"/>
    <s v=""/>
    <s v=""/>
    <x v="4"/>
    <x v="3"/>
    <m/>
    <m/>
    <n v="804"/>
  </r>
  <r>
    <x v="244"/>
    <n v="750"/>
    <x v="8"/>
    <x v="3"/>
    <s v="Kinnistute, hoonete ja ruumide majandamiskulud"/>
    <s v="2"/>
    <x v="1"/>
    <m/>
    <m/>
    <s v="280"/>
    <s v="Roela, Tudu, Viru-Jaagupi teeninduspiirkond"/>
    <x v="42"/>
    <x v="0"/>
    <x v="42"/>
    <s v=""/>
    <s v=""/>
    <x v="4"/>
    <x v="3"/>
    <m/>
    <m/>
    <n v="750"/>
  </r>
  <r>
    <x v="245"/>
    <n v="1800"/>
    <x v="7"/>
    <x v="3"/>
    <s v="Vesi ja kanalisatsioon"/>
    <s v="2"/>
    <x v="1"/>
    <m/>
    <m/>
    <s v="280"/>
    <s v="Roela, Tudu, Viru-Jaagupi teeninduspiirkond"/>
    <x v="42"/>
    <x v="0"/>
    <x v="42"/>
    <s v=""/>
    <s v=""/>
    <x v="4"/>
    <x v="3"/>
    <m/>
    <m/>
    <n v="1800"/>
  </r>
  <r>
    <x v="246"/>
    <n v="2280"/>
    <x v="17"/>
    <x v="2"/>
    <s v="Töötasud võlaõiguslike lepingute alusel"/>
    <s v="2"/>
    <x v="1"/>
    <m/>
    <m/>
    <s v="280"/>
    <s v="Roela, Tudu, Viru-Jaagupi teeninduspiirkond"/>
    <x v="42"/>
    <x v="0"/>
    <x v="42"/>
    <s v=""/>
    <s v=""/>
    <x v="3"/>
    <x v="3"/>
    <m/>
    <m/>
    <n v="2280"/>
  </r>
  <r>
    <x v="247"/>
    <n v="3924"/>
    <x v="3"/>
    <x v="2"/>
    <s v="Töötajate töötasud"/>
    <s v="2"/>
    <x v="1"/>
    <m/>
    <m/>
    <s v="280"/>
    <s v="Roela, Tudu, Viru-Jaagupi teeninduspiirkond"/>
    <x v="42"/>
    <x v="0"/>
    <x v="42"/>
    <s v=""/>
    <s v=""/>
    <x v="3"/>
    <x v="3"/>
    <m/>
    <m/>
    <n v="3924"/>
  </r>
  <r>
    <x v="248"/>
    <n v="3924"/>
    <x v="3"/>
    <x v="2"/>
    <s v="Töötajate töötasud"/>
    <s v="2"/>
    <x v="1"/>
    <m/>
    <m/>
    <s v="280"/>
    <s v="Roela, Tudu, Viru-Jaagupi teeninduspiirkond"/>
    <x v="42"/>
    <x v="0"/>
    <x v="42"/>
    <s v=""/>
    <s v=""/>
    <x v="3"/>
    <x v="3"/>
    <m/>
    <m/>
    <n v="3924"/>
  </r>
  <r>
    <x v="249"/>
    <n v="3924"/>
    <x v="3"/>
    <x v="2"/>
    <s v="Töötajate töötasud"/>
    <s v="2"/>
    <x v="1"/>
    <m/>
    <m/>
    <s v="280"/>
    <s v="Roela, Tudu, Viru-Jaagupi teeninduspiirkond"/>
    <x v="42"/>
    <x v="0"/>
    <x v="42"/>
    <s v=""/>
    <s v=""/>
    <x v="3"/>
    <x v="3"/>
    <m/>
    <m/>
    <n v="3924"/>
  </r>
  <r>
    <x v="250"/>
    <n v="7848"/>
    <x v="3"/>
    <x v="2"/>
    <s v="Töötajate töötasud"/>
    <s v="2"/>
    <x v="1"/>
    <m/>
    <m/>
    <s v="280"/>
    <s v="Roela, Tudu, Viru-Jaagupi teeninduspiirkond"/>
    <x v="42"/>
    <x v="0"/>
    <x v="42"/>
    <s v=""/>
    <s v=""/>
    <x v="3"/>
    <x v="3"/>
    <m/>
    <m/>
    <n v="7848"/>
  </r>
  <r>
    <x v="194"/>
    <n v="19560"/>
    <x v="3"/>
    <x v="2"/>
    <s v="Töötajate töötasud"/>
    <s v="2"/>
    <x v="1"/>
    <m/>
    <m/>
    <s v="280"/>
    <s v="Roela, Tudu, Viru-Jaagupi teeninduspiirkond"/>
    <x v="42"/>
    <x v="0"/>
    <x v="42"/>
    <s v=""/>
    <s v=""/>
    <x v="3"/>
    <x v="3"/>
    <m/>
    <m/>
    <n v="19560"/>
  </r>
  <r>
    <x v="4"/>
    <n v="31567.85"/>
    <x v="4"/>
    <x v="2"/>
    <s v="Tööjõukuludega kaasnevad maksud ja sotsiaalkindlustusmaksed"/>
    <s v="2"/>
    <x v="1"/>
    <m/>
    <m/>
    <s v="81"/>
    <s v="Tammiku Kodu"/>
    <x v="43"/>
    <x v="4"/>
    <x v="43"/>
    <s v=""/>
    <s v=""/>
    <x v="3"/>
    <x v="15"/>
    <m/>
    <m/>
    <n v="31567.85"/>
  </r>
  <r>
    <x v="251"/>
    <n v="9000"/>
    <x v="3"/>
    <x v="2"/>
    <s v="Töötajate töötasud"/>
    <s v="2"/>
    <x v="1"/>
    <m/>
    <m/>
    <s v="81"/>
    <s v="Tammiku Kodu"/>
    <x v="43"/>
    <x v="4"/>
    <x v="43"/>
    <s v=""/>
    <s v=""/>
    <x v="3"/>
    <x v="15"/>
    <m/>
    <m/>
    <n v="9000"/>
  </r>
  <r>
    <x v="251"/>
    <n v="9000"/>
    <x v="3"/>
    <x v="2"/>
    <s v="Töötajate töötasud"/>
    <s v="2"/>
    <x v="1"/>
    <m/>
    <m/>
    <s v="81"/>
    <s v="Tammiku Kodu"/>
    <x v="43"/>
    <x v="4"/>
    <x v="43"/>
    <s v=""/>
    <s v=""/>
    <x v="3"/>
    <x v="15"/>
    <m/>
    <m/>
    <n v="9000"/>
  </r>
  <r>
    <x v="252"/>
    <n v="768"/>
    <x v="3"/>
    <x v="2"/>
    <s v="Töötajate töötasud"/>
    <s v="2"/>
    <x v="1"/>
    <m/>
    <m/>
    <s v="43"/>
    <s v="Roela kool"/>
    <x v="34"/>
    <x v="1"/>
    <x v="34"/>
    <s v=""/>
    <s v=""/>
    <x v="3"/>
    <x v="6"/>
    <m/>
    <m/>
    <n v="768"/>
  </r>
  <r>
    <x v="251"/>
    <n v="9240"/>
    <x v="3"/>
    <x v="2"/>
    <s v="Töötajate töötasud"/>
    <s v="2"/>
    <x v="1"/>
    <m/>
    <m/>
    <s v="81"/>
    <s v="Tammiku Kodu"/>
    <x v="43"/>
    <x v="4"/>
    <x v="43"/>
    <s v=""/>
    <s v=""/>
    <x v="3"/>
    <x v="15"/>
    <m/>
    <m/>
    <n v="9240"/>
  </r>
  <r>
    <x v="253"/>
    <n v="9000"/>
    <x v="3"/>
    <x v="2"/>
    <s v="Töötajate töötasud"/>
    <s v="2"/>
    <x v="1"/>
    <m/>
    <m/>
    <s v="81"/>
    <s v="Tammiku Kodu"/>
    <x v="43"/>
    <x v="4"/>
    <x v="43"/>
    <s v=""/>
    <s v=""/>
    <x v="3"/>
    <x v="15"/>
    <m/>
    <m/>
    <n v="9000"/>
  </r>
  <r>
    <x v="251"/>
    <n v="9000"/>
    <x v="3"/>
    <x v="2"/>
    <s v="Töötajate töötasud"/>
    <s v="2"/>
    <x v="1"/>
    <m/>
    <m/>
    <s v="81"/>
    <s v="Tammiku Kodu"/>
    <x v="43"/>
    <x v="4"/>
    <x v="43"/>
    <s v=""/>
    <s v=""/>
    <x v="3"/>
    <x v="15"/>
    <m/>
    <m/>
    <n v="9000"/>
  </r>
  <r>
    <x v="28"/>
    <n v="9120"/>
    <x v="3"/>
    <x v="2"/>
    <s v="Töötajate töötasud"/>
    <s v="2"/>
    <x v="1"/>
    <m/>
    <m/>
    <s v="43"/>
    <s v="Roela kool"/>
    <x v="34"/>
    <x v="1"/>
    <x v="34"/>
    <s v=""/>
    <s v=""/>
    <x v="3"/>
    <x v="6"/>
    <m/>
    <m/>
    <n v="9120"/>
  </r>
  <r>
    <x v="251"/>
    <n v="9000"/>
    <x v="3"/>
    <x v="2"/>
    <s v="Töötajate töötasud"/>
    <s v="2"/>
    <x v="1"/>
    <m/>
    <m/>
    <s v="81"/>
    <s v="Tammiku Kodu"/>
    <x v="43"/>
    <x v="4"/>
    <x v="43"/>
    <s v=""/>
    <s v=""/>
    <x v="3"/>
    <x v="15"/>
    <m/>
    <m/>
    <n v="9000"/>
  </r>
  <r>
    <x v="17"/>
    <n v="3924"/>
    <x v="3"/>
    <x v="2"/>
    <s v="Töötajate töötasud"/>
    <s v="2"/>
    <x v="1"/>
    <m/>
    <m/>
    <s v="81"/>
    <s v="Tammiku Kodu"/>
    <x v="43"/>
    <x v="4"/>
    <x v="43"/>
    <s v=""/>
    <s v=""/>
    <x v="3"/>
    <x v="15"/>
    <m/>
    <m/>
    <n v="3924"/>
  </r>
  <r>
    <x v="13"/>
    <n v="11592"/>
    <x v="3"/>
    <x v="2"/>
    <s v="Töötajate töötasud"/>
    <s v="2"/>
    <x v="1"/>
    <m/>
    <m/>
    <s v="81"/>
    <s v="Tammiku Kodu"/>
    <x v="43"/>
    <x v="4"/>
    <x v="43"/>
    <s v=""/>
    <s v=""/>
    <x v="3"/>
    <x v="15"/>
    <m/>
    <m/>
    <n v="11592"/>
  </r>
  <r>
    <x v="254"/>
    <n v="250"/>
    <x v="30"/>
    <x v="3"/>
    <s v="Sõidukite ülalpidamise kulud"/>
    <s v="2"/>
    <x v="1"/>
    <m/>
    <m/>
    <s v="44"/>
    <s v="Tudu kool"/>
    <x v="44"/>
    <x v="1"/>
    <x v="44"/>
    <s v=""/>
    <s v=""/>
    <x v="4"/>
    <x v="6"/>
    <m/>
    <m/>
    <n v="250"/>
  </r>
  <r>
    <x v="255"/>
    <n v="3332.68"/>
    <x v="16"/>
    <x v="3"/>
    <s v="Toiduained ja toitlustusteenused"/>
    <s v="2"/>
    <x v="1"/>
    <m/>
    <m/>
    <s v="44"/>
    <s v="Tudu kool"/>
    <x v="44"/>
    <x v="1"/>
    <x v="44"/>
    <s v=""/>
    <s v=""/>
    <x v="4"/>
    <x v="6"/>
    <m/>
    <m/>
    <n v="3332.68"/>
  </r>
  <r>
    <x v="69"/>
    <n v="1980"/>
    <x v="16"/>
    <x v="3"/>
    <s v="Toiduained ja toitlustusteenused"/>
    <s v="2"/>
    <x v="1"/>
    <m/>
    <m/>
    <s v="44"/>
    <s v="Tudu kool"/>
    <x v="44"/>
    <x v="1"/>
    <x v="44"/>
    <s v=""/>
    <s v=""/>
    <x v="4"/>
    <x v="6"/>
    <m/>
    <m/>
    <n v="1980"/>
  </r>
  <r>
    <x v="256"/>
    <n v="1168"/>
    <x v="17"/>
    <x v="2"/>
    <s v="Töötasud võlaõiguslike lepingute alusel"/>
    <s v="2"/>
    <x v="1"/>
    <m/>
    <m/>
    <s v="44"/>
    <s v="Tudu kool"/>
    <x v="44"/>
    <x v="1"/>
    <x v="44"/>
    <s v=""/>
    <s v=""/>
    <x v="3"/>
    <x v="6"/>
    <m/>
    <m/>
    <n v="1168"/>
  </r>
  <r>
    <x v="48"/>
    <n v="29970"/>
    <x v="5"/>
    <x v="3"/>
    <s v="Küte ja soojusenergia"/>
    <s v="2"/>
    <x v="1"/>
    <m/>
    <m/>
    <s v="44"/>
    <s v="Tudu kool"/>
    <x v="44"/>
    <x v="1"/>
    <x v="44"/>
    <s v=""/>
    <s v=""/>
    <x v="4"/>
    <x v="6"/>
    <m/>
    <m/>
    <n v="29970"/>
  </r>
  <r>
    <x v="42"/>
    <n v="2880"/>
    <x v="3"/>
    <x v="2"/>
    <s v="Töötajate töötasud"/>
    <s v="2"/>
    <x v="1"/>
    <m/>
    <m/>
    <s v="44"/>
    <s v="Tudu kool"/>
    <x v="44"/>
    <x v="1"/>
    <x v="44"/>
    <s v=""/>
    <s v=""/>
    <x v="3"/>
    <x v="6"/>
    <m/>
    <m/>
    <n v="2880"/>
  </r>
  <r>
    <x v="28"/>
    <n v="7560"/>
    <x v="3"/>
    <x v="2"/>
    <s v="Töötajate töötasud"/>
    <s v="2"/>
    <x v="1"/>
    <m/>
    <m/>
    <s v="44"/>
    <s v="Tudu kool"/>
    <x v="44"/>
    <x v="1"/>
    <x v="44"/>
    <s v=""/>
    <s v=""/>
    <x v="3"/>
    <x v="6"/>
    <m/>
    <m/>
    <n v="7560"/>
  </r>
  <r>
    <x v="46"/>
    <n v="15696"/>
    <x v="3"/>
    <x v="2"/>
    <s v="Töötajate töötasud"/>
    <s v="2"/>
    <x v="1"/>
    <m/>
    <m/>
    <s v="44"/>
    <s v="Tudu kool"/>
    <x v="44"/>
    <x v="1"/>
    <x v="44"/>
    <s v=""/>
    <s v=""/>
    <x v="3"/>
    <x v="6"/>
    <m/>
    <m/>
    <n v="15696"/>
  </r>
  <r>
    <x v="257"/>
    <n v="8880"/>
    <x v="3"/>
    <x v="2"/>
    <s v="Töötajate töötasud"/>
    <s v="2"/>
    <x v="1"/>
    <m/>
    <m/>
    <s v="44"/>
    <s v="Tudu kool"/>
    <x v="44"/>
    <x v="1"/>
    <x v="44"/>
    <s v=""/>
    <s v=""/>
    <x v="3"/>
    <x v="6"/>
    <m/>
    <m/>
    <n v="8880"/>
  </r>
  <r>
    <x v="4"/>
    <n v="13556.51"/>
    <x v="4"/>
    <x v="2"/>
    <s v="Tööjõukuludega kaasnevad maksud ja sotsiaalkindlustusmaksed"/>
    <s v="2"/>
    <x v="1"/>
    <m/>
    <m/>
    <s v="44"/>
    <s v="Tudu kool"/>
    <x v="44"/>
    <x v="1"/>
    <x v="44"/>
    <s v=""/>
    <s v=""/>
    <x v="3"/>
    <x v="6"/>
    <m/>
    <m/>
    <n v="13556.51"/>
  </r>
  <r>
    <x v="159"/>
    <n v="3924"/>
    <x v="3"/>
    <x v="2"/>
    <s v="Töötajate töötasud"/>
    <s v="2"/>
    <x v="1"/>
    <m/>
    <m/>
    <s v="44"/>
    <s v="Tudu kool"/>
    <x v="44"/>
    <x v="1"/>
    <x v="44"/>
    <s v=""/>
    <s v=""/>
    <x v="3"/>
    <x v="6"/>
    <m/>
    <m/>
    <n v="3924"/>
  </r>
  <r>
    <x v="258"/>
    <n v="4859.68"/>
    <x v="13"/>
    <x v="3"/>
    <s v="Sõidukite kasutusrent"/>
    <s v="2"/>
    <x v="1"/>
    <m/>
    <m/>
    <s v="44"/>
    <s v="Tudu kool"/>
    <x v="44"/>
    <x v="1"/>
    <x v="44"/>
    <s v=""/>
    <s v=""/>
    <x v="4"/>
    <x v="6"/>
    <m/>
    <m/>
    <n v="4859.68"/>
  </r>
  <r>
    <x v="6"/>
    <n v="3120"/>
    <x v="6"/>
    <x v="3"/>
    <s v="Elekter"/>
    <s v="2"/>
    <x v="1"/>
    <m/>
    <m/>
    <s v="44"/>
    <s v="Tudu kool"/>
    <x v="44"/>
    <x v="1"/>
    <x v="44"/>
    <s v=""/>
    <s v=""/>
    <x v="4"/>
    <x v="6"/>
    <m/>
    <m/>
    <n v="3120"/>
  </r>
  <r>
    <x v="259"/>
    <n v="54"/>
    <x v="10"/>
    <x v="3"/>
    <s v="Info- ja kommunikatsioonitehnoloogia kulud"/>
    <s v="2"/>
    <x v="1"/>
    <m/>
    <m/>
    <s v="44"/>
    <s v="Tudu kool"/>
    <x v="44"/>
    <x v="1"/>
    <x v="44"/>
    <s v=""/>
    <s v=""/>
    <x v="4"/>
    <x v="6"/>
    <m/>
    <m/>
    <n v="54"/>
  </r>
  <r>
    <x v="168"/>
    <n v="2255"/>
    <x v="7"/>
    <x v="3"/>
    <s v="Vesi ja kanalisatsioon"/>
    <s v="2"/>
    <x v="1"/>
    <m/>
    <m/>
    <s v="44"/>
    <s v="Tudu kool"/>
    <x v="44"/>
    <x v="1"/>
    <x v="44"/>
    <s v=""/>
    <s v=""/>
    <x v="4"/>
    <x v="6"/>
    <m/>
    <m/>
    <n v="2255"/>
  </r>
  <r>
    <x v="208"/>
    <n v="155"/>
    <x v="15"/>
    <x v="3"/>
    <s v="Õppevahendite ja koolituse kulud"/>
    <s v="2"/>
    <x v="1"/>
    <m/>
    <m/>
    <s v="44"/>
    <s v="Tudu kool"/>
    <x v="44"/>
    <x v="1"/>
    <x v="44"/>
    <s v=""/>
    <s v=""/>
    <x v="4"/>
    <x v="6"/>
    <m/>
    <m/>
    <n v="155"/>
  </r>
  <r>
    <x v="190"/>
    <n v="60"/>
    <x v="7"/>
    <x v="3"/>
    <s v="Vesi ja kanalisatsioon"/>
    <s v="2"/>
    <x v="1"/>
    <m/>
    <m/>
    <s v="44"/>
    <s v="Tudu kool"/>
    <x v="44"/>
    <x v="1"/>
    <x v="44"/>
    <s v=""/>
    <s v=""/>
    <x v="4"/>
    <x v="6"/>
    <m/>
    <m/>
    <n v="60"/>
  </r>
  <r>
    <x v="190"/>
    <n v="72"/>
    <x v="7"/>
    <x v="3"/>
    <s v="Vesi ja kanalisatsioon"/>
    <s v="2"/>
    <x v="1"/>
    <m/>
    <m/>
    <s v="44"/>
    <s v="Tudu kool"/>
    <x v="44"/>
    <x v="1"/>
    <x v="44"/>
    <s v=""/>
    <s v=""/>
    <x v="4"/>
    <x v="6"/>
    <m/>
    <m/>
    <n v="72"/>
  </r>
  <r>
    <x v="260"/>
    <n v="60"/>
    <x v="12"/>
    <x v="3"/>
    <s v="Kindlustus"/>
    <s v="2"/>
    <x v="1"/>
    <m/>
    <m/>
    <s v="44"/>
    <s v="Tudu kool"/>
    <x v="44"/>
    <x v="1"/>
    <x v="44"/>
    <s v=""/>
    <s v=""/>
    <x v="4"/>
    <x v="6"/>
    <m/>
    <m/>
    <n v="60"/>
  </r>
  <r>
    <x v="261"/>
    <n v="507"/>
    <x v="12"/>
    <x v="3"/>
    <s v="Kindlustus"/>
    <s v="2"/>
    <x v="1"/>
    <m/>
    <m/>
    <s v="44"/>
    <s v="Tudu kool"/>
    <x v="44"/>
    <x v="1"/>
    <x v="44"/>
    <s v=""/>
    <s v=""/>
    <x v="4"/>
    <x v="6"/>
    <m/>
    <m/>
    <n v="507"/>
  </r>
  <r>
    <x v="8"/>
    <n v="60"/>
    <x v="8"/>
    <x v="3"/>
    <s v="Kinnistute, hoonete ja ruumide majandamiskulud"/>
    <s v="2"/>
    <x v="1"/>
    <m/>
    <m/>
    <s v="44"/>
    <s v="Tudu kool"/>
    <x v="44"/>
    <x v="1"/>
    <x v="44"/>
    <s v=""/>
    <s v=""/>
    <x v="4"/>
    <x v="6"/>
    <m/>
    <m/>
    <n v="60"/>
  </r>
  <r>
    <x v="53"/>
    <n v="93.96"/>
    <x v="8"/>
    <x v="3"/>
    <s v="Kinnistute, hoonete ja ruumide majandamiskulud"/>
    <s v="2"/>
    <x v="1"/>
    <m/>
    <m/>
    <s v="44"/>
    <s v="Tudu kool"/>
    <x v="44"/>
    <x v="1"/>
    <x v="44"/>
    <s v=""/>
    <s v=""/>
    <x v="4"/>
    <x v="6"/>
    <m/>
    <m/>
    <n v="93.96"/>
  </r>
  <r>
    <x v="150"/>
    <n v="575.36"/>
    <x v="8"/>
    <x v="3"/>
    <s v="Kinnistute, hoonete ja ruumide majandamiskulud"/>
    <s v="2"/>
    <x v="1"/>
    <m/>
    <m/>
    <s v="44"/>
    <s v="Tudu kool"/>
    <x v="44"/>
    <x v="1"/>
    <x v="44"/>
    <s v=""/>
    <s v=""/>
    <x v="4"/>
    <x v="6"/>
    <m/>
    <m/>
    <n v="575.36"/>
  </r>
  <r>
    <x v="61"/>
    <n v="704"/>
    <x v="14"/>
    <x v="3"/>
    <s v="Isikliku sõiduauto kompensatsioon"/>
    <s v="2"/>
    <x v="1"/>
    <m/>
    <m/>
    <s v="66"/>
    <s v="Ulvi Klubi"/>
    <x v="45"/>
    <x v="2"/>
    <x v="45"/>
    <s v=""/>
    <s v=""/>
    <x v="4"/>
    <x v="19"/>
    <m/>
    <m/>
    <n v="704"/>
  </r>
  <r>
    <x v="4"/>
    <n v="5714.9"/>
    <x v="4"/>
    <x v="2"/>
    <s v="Tööjõukuludega kaasnevad maksud ja sotsiaalkindlustusmaksed"/>
    <s v="2"/>
    <x v="1"/>
    <m/>
    <m/>
    <s v="66"/>
    <s v="Ulvi Klubi"/>
    <x v="45"/>
    <x v="2"/>
    <x v="45"/>
    <s v=""/>
    <s v=""/>
    <x v="3"/>
    <x v="19"/>
    <m/>
    <m/>
    <n v="5714.9"/>
  </r>
  <r>
    <x v="148"/>
    <n v="2268"/>
    <x v="17"/>
    <x v="2"/>
    <s v="Töötasud võlaõiguslike lepingute alusel"/>
    <s v="2"/>
    <x v="1"/>
    <m/>
    <m/>
    <s v="66"/>
    <s v="Ulvi Klubi"/>
    <x v="45"/>
    <x v="2"/>
    <x v="45"/>
    <s v=""/>
    <s v=""/>
    <x v="3"/>
    <x v="19"/>
    <m/>
    <m/>
    <n v="2268"/>
  </r>
  <r>
    <x v="46"/>
    <n v="3600"/>
    <x v="3"/>
    <x v="2"/>
    <s v="Töötajate töötasud"/>
    <s v="2"/>
    <x v="1"/>
    <m/>
    <m/>
    <s v="66"/>
    <s v="Ulvi Klubi"/>
    <x v="45"/>
    <x v="2"/>
    <x v="45"/>
    <s v=""/>
    <s v=""/>
    <x v="3"/>
    <x v="19"/>
    <m/>
    <m/>
    <n v="3600"/>
  </r>
  <r>
    <x v="13"/>
    <n v="11040"/>
    <x v="3"/>
    <x v="2"/>
    <s v="Töötajate töötasud"/>
    <s v="2"/>
    <x v="1"/>
    <m/>
    <m/>
    <s v="66"/>
    <s v="Ulvi Klubi"/>
    <x v="45"/>
    <x v="2"/>
    <x v="45"/>
    <s v=""/>
    <s v=""/>
    <x v="3"/>
    <x v="19"/>
    <m/>
    <m/>
    <n v="11040"/>
  </r>
  <r>
    <x v="6"/>
    <n v="8600"/>
    <x v="6"/>
    <x v="3"/>
    <s v="Elekter"/>
    <s v="2"/>
    <x v="1"/>
    <m/>
    <m/>
    <s v="66"/>
    <s v="Ulvi Klubi"/>
    <x v="45"/>
    <x v="2"/>
    <x v="45"/>
    <s v=""/>
    <s v=""/>
    <x v="4"/>
    <x v="19"/>
    <m/>
    <m/>
    <n v="8600"/>
  </r>
  <r>
    <x v="168"/>
    <n v="350"/>
    <x v="7"/>
    <x v="3"/>
    <s v="Vesi ja kanalisatsioon"/>
    <s v="2"/>
    <x v="1"/>
    <m/>
    <m/>
    <s v="66"/>
    <s v="Ulvi Klubi"/>
    <x v="45"/>
    <x v="2"/>
    <x v="45"/>
    <s v=""/>
    <s v=""/>
    <x v="4"/>
    <x v="19"/>
    <m/>
    <m/>
    <n v="350"/>
  </r>
  <r>
    <x v="262"/>
    <n v="221.64"/>
    <x v="8"/>
    <x v="3"/>
    <s v="Kinnistute, hoonete ja ruumide majandamiskulud"/>
    <s v="2"/>
    <x v="1"/>
    <m/>
    <m/>
    <s v="66"/>
    <s v="Ulvi Klubi"/>
    <x v="45"/>
    <x v="2"/>
    <x v="45"/>
    <s v=""/>
    <s v=""/>
    <x v="4"/>
    <x v="19"/>
    <m/>
    <m/>
    <n v="221.64"/>
  </r>
  <r>
    <x v="8"/>
    <n v="20"/>
    <x v="8"/>
    <x v="3"/>
    <s v="Kinnistute, hoonete ja ruumide majandamiskulud"/>
    <s v="2"/>
    <x v="1"/>
    <m/>
    <m/>
    <s v="66"/>
    <s v="Ulvi Klubi"/>
    <x v="45"/>
    <x v="2"/>
    <x v="45"/>
    <s v=""/>
    <s v=""/>
    <x v="4"/>
    <x v="19"/>
    <m/>
    <m/>
    <n v="20"/>
  </r>
  <r>
    <x v="190"/>
    <n v="73.56"/>
    <x v="7"/>
    <x v="3"/>
    <s v="Vesi ja kanalisatsioon"/>
    <s v="2"/>
    <x v="1"/>
    <m/>
    <m/>
    <s v="66"/>
    <s v="Ulvi Klubi"/>
    <x v="45"/>
    <x v="2"/>
    <x v="45"/>
    <s v=""/>
    <s v=""/>
    <x v="4"/>
    <x v="19"/>
    <m/>
    <m/>
    <n v="73.56"/>
  </r>
  <r>
    <x v="263"/>
    <n v="500"/>
    <x v="8"/>
    <x v="3"/>
    <s v="Kinnistute, hoonete ja ruumide majandamiskulud"/>
    <s v="2"/>
    <x v="1"/>
    <m/>
    <m/>
    <s v="66"/>
    <s v="Ulvi Klubi"/>
    <x v="45"/>
    <x v="2"/>
    <x v="45"/>
    <s v=""/>
    <s v=""/>
    <x v="4"/>
    <x v="19"/>
    <m/>
    <m/>
    <n v="500"/>
  </r>
  <r>
    <x v="264"/>
    <n v="3000"/>
    <x v="8"/>
    <x v="3"/>
    <s v="Kinnistute, hoonete ja ruumide majandamiskulud"/>
    <s v="2"/>
    <x v="1"/>
    <m/>
    <m/>
    <s v="66"/>
    <s v="Ulvi Klubi"/>
    <x v="45"/>
    <x v="2"/>
    <x v="45"/>
    <s v=""/>
    <s v=""/>
    <x v="4"/>
    <x v="19"/>
    <m/>
    <m/>
    <n v="3000"/>
  </r>
  <r>
    <x v="265"/>
    <n v="221.64"/>
    <x v="8"/>
    <x v="3"/>
    <s v="Kinnistute, hoonete ja ruumide majandamiskulud"/>
    <s v="2"/>
    <x v="1"/>
    <m/>
    <m/>
    <s v="31"/>
    <s v="Vinni Lasteaed"/>
    <x v="8"/>
    <x v="1"/>
    <x v="8"/>
    <s v=""/>
    <s v=""/>
    <x v="4"/>
    <x v="1"/>
    <m/>
    <m/>
    <n v="221.64"/>
  </r>
  <r>
    <x v="266"/>
    <n v="1200"/>
    <x v="8"/>
    <x v="3"/>
    <s v="Kinnistute, hoonete ja ruumide majandamiskulud"/>
    <s v="2"/>
    <x v="1"/>
    <m/>
    <m/>
    <s v="31"/>
    <s v="Vinni Lasteaed"/>
    <x v="8"/>
    <x v="1"/>
    <x v="8"/>
    <s v=""/>
    <s v=""/>
    <x v="4"/>
    <x v="1"/>
    <m/>
    <m/>
    <n v="1200"/>
  </r>
  <r>
    <x v="267"/>
    <n v="876.67"/>
    <x v="17"/>
    <x v="2"/>
    <s v="Töötasud võlaõiguslike lepingute alusel"/>
    <s v="2"/>
    <x v="1"/>
    <m/>
    <m/>
    <s v="31"/>
    <s v="Vinni Lasteaed"/>
    <x v="8"/>
    <x v="1"/>
    <x v="8"/>
    <s v=""/>
    <s v=""/>
    <x v="3"/>
    <x v="1"/>
    <m/>
    <m/>
    <n v="876.67"/>
  </r>
  <r>
    <x v="268"/>
    <n v="2630"/>
    <x v="17"/>
    <x v="2"/>
    <s v="Töötasud võlaõiguslike lepingute alusel"/>
    <s v="2"/>
    <x v="1"/>
    <m/>
    <m/>
    <s v="31"/>
    <s v="Vinni Lasteaed"/>
    <x v="8"/>
    <x v="1"/>
    <x v="8"/>
    <s v=""/>
    <s v=""/>
    <x v="3"/>
    <x v="1"/>
    <m/>
    <m/>
    <n v="2630"/>
  </r>
  <r>
    <x v="269"/>
    <n v="256"/>
    <x v="3"/>
    <x v="2"/>
    <s v="Töötajate töötasud"/>
    <s v="2"/>
    <x v="1"/>
    <m/>
    <m/>
    <s v="31"/>
    <s v="Vinni Lasteaed"/>
    <x v="8"/>
    <x v="1"/>
    <x v="8"/>
    <s v=""/>
    <s v=""/>
    <x v="3"/>
    <x v="1"/>
    <m/>
    <m/>
    <n v="256"/>
  </r>
  <r>
    <x v="270"/>
    <n v="657.5"/>
    <x v="17"/>
    <x v="2"/>
    <s v="Töötasud võlaõiguslike lepingute alusel"/>
    <s v="2"/>
    <x v="1"/>
    <m/>
    <m/>
    <s v="31"/>
    <s v="Vinni Lasteaed"/>
    <x v="8"/>
    <x v="1"/>
    <x v="8"/>
    <s v=""/>
    <s v=""/>
    <x v="3"/>
    <x v="1"/>
    <m/>
    <m/>
    <n v="657.5"/>
  </r>
  <r>
    <x v="271"/>
    <n v="1404"/>
    <x v="17"/>
    <x v="2"/>
    <s v="Töötasud võlaõiguslike lepingute alusel"/>
    <s v="2"/>
    <x v="1"/>
    <m/>
    <m/>
    <s v="31"/>
    <s v="Vinni Lasteaed"/>
    <x v="8"/>
    <x v="1"/>
    <x v="8"/>
    <s v=""/>
    <s v=""/>
    <x v="3"/>
    <x v="1"/>
    <m/>
    <m/>
    <n v="1404"/>
  </r>
  <r>
    <x v="215"/>
    <n v="704"/>
    <x v="14"/>
    <x v="3"/>
    <s v="Isikliku sõiduauto kompensatsioon"/>
    <s v="2"/>
    <x v="1"/>
    <m/>
    <m/>
    <s v="31"/>
    <s v="Vinni Lasteaed"/>
    <x v="8"/>
    <x v="1"/>
    <x v="8"/>
    <s v=""/>
    <s v=""/>
    <x v="4"/>
    <x v="1"/>
    <m/>
    <m/>
    <n v="704"/>
  </r>
  <r>
    <x v="164"/>
    <n v="704"/>
    <x v="14"/>
    <x v="3"/>
    <s v="Isikliku sõiduauto kompensatsioon"/>
    <s v="2"/>
    <x v="1"/>
    <m/>
    <m/>
    <s v="31"/>
    <s v="Vinni Lasteaed"/>
    <x v="8"/>
    <x v="1"/>
    <x v="8"/>
    <s v=""/>
    <s v=""/>
    <x v="4"/>
    <x v="1"/>
    <m/>
    <m/>
    <n v="704"/>
  </r>
  <r>
    <x v="4"/>
    <n v="117586.88"/>
    <x v="4"/>
    <x v="2"/>
    <s v="Tööjõukuludega kaasnevad maksud ja sotsiaalkindlustusmaksed"/>
    <s v="2"/>
    <x v="1"/>
    <m/>
    <m/>
    <s v="31"/>
    <s v="Vinni Lasteaed"/>
    <x v="8"/>
    <x v="1"/>
    <x v="8"/>
    <s v=""/>
    <s v=""/>
    <x v="3"/>
    <x v="1"/>
    <m/>
    <m/>
    <n v="117586.88"/>
  </r>
  <r>
    <x v="272"/>
    <n v="50544"/>
    <x v="3"/>
    <x v="2"/>
    <s v="Töötajate töötasud"/>
    <s v="2"/>
    <x v="1"/>
    <m/>
    <m/>
    <s v="31"/>
    <s v="Vinni Lasteaed"/>
    <x v="8"/>
    <x v="1"/>
    <x v="8"/>
    <m/>
    <m/>
    <x v="3"/>
    <x v="1"/>
    <m/>
    <m/>
    <n v="50544"/>
  </r>
  <r>
    <x v="42"/>
    <n v="15780"/>
    <x v="3"/>
    <x v="2"/>
    <s v="Töötajate töötasud"/>
    <s v="2"/>
    <x v="1"/>
    <m/>
    <m/>
    <s v="31"/>
    <s v="Vinni Lasteaed"/>
    <x v="8"/>
    <x v="1"/>
    <x v="8"/>
    <s v=""/>
    <s v=""/>
    <x v="3"/>
    <x v="1"/>
    <m/>
    <m/>
    <n v="15780"/>
  </r>
  <r>
    <x v="28"/>
    <n v="9240"/>
    <x v="3"/>
    <x v="2"/>
    <s v="Töötajate töötasud"/>
    <s v="2"/>
    <x v="1"/>
    <m/>
    <m/>
    <s v="45"/>
    <s v="Vinni pajusti Gümnaasium"/>
    <x v="7"/>
    <x v="1"/>
    <x v="7"/>
    <s v=""/>
    <s v=""/>
    <x v="3"/>
    <x v="6"/>
    <m/>
    <m/>
    <n v="9240"/>
  </r>
  <r>
    <x v="273"/>
    <n v="101664"/>
    <x v="3"/>
    <x v="2"/>
    <s v="Töötajate töötasud"/>
    <s v="2"/>
    <x v="1"/>
    <m/>
    <m/>
    <s v="31"/>
    <s v="Vinni Lasteaed"/>
    <x v="8"/>
    <x v="1"/>
    <x v="8"/>
    <s v=""/>
    <s v=""/>
    <x v="3"/>
    <x v="1"/>
    <m/>
    <m/>
    <n v="101664"/>
  </r>
  <r>
    <x v="274"/>
    <n v="11280"/>
    <x v="3"/>
    <x v="2"/>
    <s v="Töötajate töötasud"/>
    <s v="2"/>
    <x v="1"/>
    <m/>
    <m/>
    <s v="45"/>
    <s v="Vinni pajusti Gümnaasium"/>
    <x v="7"/>
    <x v="1"/>
    <x v="7"/>
    <s v=""/>
    <s v=""/>
    <x v="3"/>
    <x v="6"/>
    <m/>
    <m/>
    <n v="11280"/>
  </r>
  <r>
    <x v="275"/>
    <n v="76260"/>
    <x v="3"/>
    <x v="2"/>
    <s v="Töötajate töötasud"/>
    <s v="2"/>
    <x v="1"/>
    <m/>
    <m/>
    <s v="31"/>
    <s v="Vinni Lasteaed"/>
    <x v="8"/>
    <x v="1"/>
    <x v="8"/>
    <s v=""/>
    <s v=""/>
    <x v="3"/>
    <x v="1"/>
    <m/>
    <m/>
    <n v="76260"/>
  </r>
  <r>
    <x v="276"/>
    <n v="15252"/>
    <x v="3"/>
    <x v="2"/>
    <s v="Töötajate töötasud"/>
    <s v="2"/>
    <x v="1"/>
    <m/>
    <m/>
    <s v="31"/>
    <s v="Vinni Lasteaed"/>
    <x v="8"/>
    <x v="1"/>
    <x v="8"/>
    <s v=""/>
    <s v=""/>
    <x v="3"/>
    <x v="1"/>
    <m/>
    <m/>
    <n v="15252"/>
  </r>
  <r>
    <x v="72"/>
    <n v="11439"/>
    <x v="3"/>
    <x v="2"/>
    <s v="Töötajate töötasud"/>
    <s v="2"/>
    <x v="1"/>
    <m/>
    <m/>
    <s v="31"/>
    <s v="Vinni Lasteaed"/>
    <x v="8"/>
    <x v="1"/>
    <x v="8"/>
    <s v=""/>
    <s v=""/>
    <x v="3"/>
    <x v="1"/>
    <m/>
    <m/>
    <n v="11439"/>
  </r>
  <r>
    <x v="135"/>
    <n v="20400"/>
    <x v="3"/>
    <x v="2"/>
    <s v="Töötajate töötasud"/>
    <s v="2"/>
    <x v="1"/>
    <m/>
    <m/>
    <s v="31"/>
    <s v="Vinni Lasteaed"/>
    <x v="8"/>
    <x v="1"/>
    <x v="8"/>
    <s v=""/>
    <s v=""/>
    <x v="3"/>
    <x v="1"/>
    <m/>
    <m/>
    <n v="20400"/>
  </r>
  <r>
    <x v="46"/>
    <n v="7848"/>
    <x v="3"/>
    <x v="2"/>
    <s v="Töötajate töötasud"/>
    <s v="2"/>
    <x v="1"/>
    <m/>
    <m/>
    <s v="31"/>
    <s v="Vinni Lasteaed"/>
    <x v="8"/>
    <x v="1"/>
    <x v="8"/>
    <s v=""/>
    <s v=""/>
    <x v="3"/>
    <x v="1"/>
    <m/>
    <m/>
    <n v="7848"/>
  </r>
  <r>
    <x v="73"/>
    <n v="11439"/>
    <x v="3"/>
    <x v="2"/>
    <s v="Töötajate töötasud"/>
    <s v="2"/>
    <x v="1"/>
    <m/>
    <m/>
    <s v="31"/>
    <s v="Vinni Lasteaed"/>
    <x v="8"/>
    <x v="1"/>
    <x v="8"/>
    <s v=""/>
    <s v=""/>
    <x v="3"/>
    <x v="1"/>
    <m/>
    <m/>
    <n v="11439"/>
  </r>
  <r>
    <x v="41"/>
    <n v="8424"/>
    <x v="3"/>
    <x v="2"/>
    <s v="Töötajate töötasud"/>
    <s v="2"/>
    <x v="1"/>
    <m/>
    <m/>
    <s v="31"/>
    <s v="Vinni Lasteaed"/>
    <x v="8"/>
    <x v="1"/>
    <x v="8"/>
    <s v=""/>
    <s v=""/>
    <x v="3"/>
    <x v="1"/>
    <m/>
    <m/>
    <n v="8424"/>
  </r>
  <r>
    <x v="159"/>
    <n v="7848"/>
    <x v="3"/>
    <x v="2"/>
    <s v="Töötajate töötasud"/>
    <s v="2"/>
    <x v="1"/>
    <m/>
    <m/>
    <s v="31"/>
    <s v="Vinni Lasteaed"/>
    <x v="8"/>
    <x v="1"/>
    <x v="8"/>
    <s v=""/>
    <s v=""/>
    <x v="3"/>
    <x v="1"/>
    <m/>
    <m/>
    <n v="7848"/>
  </r>
  <r>
    <x v="69"/>
    <n v="25555.53"/>
    <x v="16"/>
    <x v="3"/>
    <s v="Toiduained ja toitlustusteenused"/>
    <s v="2"/>
    <x v="1"/>
    <m/>
    <m/>
    <s v="31"/>
    <s v="Vinni Lasteaed"/>
    <x v="8"/>
    <x v="1"/>
    <x v="8"/>
    <s v=""/>
    <s v=""/>
    <x v="4"/>
    <x v="1"/>
    <m/>
    <m/>
    <n v="25555.53"/>
  </r>
  <r>
    <x v="277"/>
    <n v="360"/>
    <x v="10"/>
    <x v="3"/>
    <s v="Info- ja kommunikatsioonitehnoloogia kulud"/>
    <s v="2"/>
    <x v="1"/>
    <m/>
    <m/>
    <s v="31"/>
    <s v="Vinni Lasteaed"/>
    <x v="8"/>
    <x v="1"/>
    <x v="8"/>
    <s v=""/>
    <s v=""/>
    <x v="4"/>
    <x v="1"/>
    <m/>
    <m/>
    <n v="360"/>
  </r>
  <r>
    <x v="6"/>
    <n v="6540"/>
    <x v="6"/>
    <x v="3"/>
    <s v="Elekter"/>
    <s v="2"/>
    <x v="1"/>
    <m/>
    <m/>
    <s v="31"/>
    <s v="Vinni Lasteaed"/>
    <x v="8"/>
    <x v="1"/>
    <x v="8"/>
    <s v=""/>
    <s v=""/>
    <x v="4"/>
    <x v="1"/>
    <m/>
    <m/>
    <n v="6540"/>
  </r>
  <r>
    <x v="7"/>
    <n v="2940"/>
    <x v="7"/>
    <x v="3"/>
    <s v="Vesi ja kanalisatsioon"/>
    <s v="2"/>
    <x v="1"/>
    <m/>
    <m/>
    <s v="31"/>
    <s v="Vinni Lasteaed"/>
    <x v="8"/>
    <x v="1"/>
    <x v="8"/>
    <s v=""/>
    <s v=""/>
    <x v="4"/>
    <x v="1"/>
    <m/>
    <m/>
    <n v="2940"/>
  </r>
  <r>
    <x v="77"/>
    <n v="574.79999999999995"/>
    <x v="10"/>
    <x v="3"/>
    <s v="Info- ja kommunikatsioonitehnoloogia kulud"/>
    <s v="2"/>
    <x v="1"/>
    <m/>
    <m/>
    <s v="31"/>
    <s v="Vinni Lasteaed"/>
    <x v="8"/>
    <x v="1"/>
    <x v="8"/>
    <s v=""/>
    <s v=""/>
    <x v="4"/>
    <x v="1"/>
    <m/>
    <m/>
    <n v="574.79999999999995"/>
  </r>
  <r>
    <x v="8"/>
    <n v="200.4"/>
    <x v="8"/>
    <x v="3"/>
    <s v="Kinnistute, hoonete ja ruumide majandamiskulud"/>
    <s v="2"/>
    <x v="1"/>
    <m/>
    <m/>
    <s v="31"/>
    <s v="Vinni Lasteaed"/>
    <x v="8"/>
    <x v="1"/>
    <x v="8"/>
    <m/>
    <m/>
    <x v="4"/>
    <x v="1"/>
    <m/>
    <m/>
    <n v="200.4"/>
  </r>
  <r>
    <x v="208"/>
    <n v="216"/>
    <x v="15"/>
    <x v="3"/>
    <s v="Õppevahendite ja koolituse kulud"/>
    <s v="2"/>
    <x v="1"/>
    <m/>
    <m/>
    <s v="31"/>
    <s v="Vinni Lasteaed"/>
    <x v="8"/>
    <x v="1"/>
    <x v="8"/>
    <s v=""/>
    <s v=""/>
    <x v="4"/>
    <x v="1"/>
    <m/>
    <m/>
    <n v="216"/>
  </r>
  <r>
    <x v="56"/>
    <n v="146.04"/>
    <x v="8"/>
    <x v="3"/>
    <s v="Kinnistute, hoonete ja ruumide majandamiskulud"/>
    <s v="2"/>
    <x v="1"/>
    <m/>
    <m/>
    <s v="31"/>
    <s v="Vinni Lasteaed"/>
    <x v="8"/>
    <x v="1"/>
    <x v="8"/>
    <s v=""/>
    <s v=""/>
    <x v="4"/>
    <x v="1"/>
    <m/>
    <m/>
    <n v="146.04"/>
  </r>
  <r>
    <x v="9"/>
    <n v="156"/>
    <x v="8"/>
    <x v="3"/>
    <s v="Kinnistute, hoonete ja ruumide majandamiskulud"/>
    <s v="2"/>
    <x v="1"/>
    <m/>
    <m/>
    <s v="31"/>
    <s v="Vinni Lasteaed"/>
    <x v="8"/>
    <x v="1"/>
    <x v="8"/>
    <s v=""/>
    <s v=""/>
    <x v="4"/>
    <x v="1"/>
    <m/>
    <m/>
    <n v="156"/>
  </r>
  <r>
    <x v="150"/>
    <n v="460.16"/>
    <x v="8"/>
    <x v="3"/>
    <s v="Kinnistute, hoonete ja ruumide majandamiskulud"/>
    <s v="2"/>
    <x v="1"/>
    <m/>
    <m/>
    <s v="31"/>
    <s v="Vinni Lasteaed"/>
    <x v="8"/>
    <x v="1"/>
    <x v="8"/>
    <m/>
    <m/>
    <x v="4"/>
    <x v="1"/>
    <m/>
    <m/>
    <n v="460.16"/>
  </r>
  <r>
    <x v="48"/>
    <n v="18540"/>
    <x v="5"/>
    <x v="3"/>
    <s v="Küte ja soojusenergia"/>
    <s v="2"/>
    <x v="1"/>
    <m/>
    <m/>
    <s v="31"/>
    <s v="Vinni Lasteaed"/>
    <x v="8"/>
    <x v="1"/>
    <x v="8"/>
    <s v=""/>
    <s v=""/>
    <x v="4"/>
    <x v="1"/>
    <m/>
    <m/>
    <n v="18540"/>
  </r>
  <r>
    <x v="278"/>
    <n v="1000"/>
    <x v="8"/>
    <x v="3"/>
    <s v="Kinnistute, hoonete ja ruumide majandamiskulud"/>
    <s v="2"/>
    <x v="1"/>
    <m/>
    <m/>
    <s v="31"/>
    <s v="Vinni Lasteaed"/>
    <x v="8"/>
    <x v="1"/>
    <x v="8"/>
    <s v=""/>
    <s v=""/>
    <x v="4"/>
    <x v="1"/>
    <m/>
    <m/>
    <n v="1000"/>
  </r>
  <r>
    <x v="279"/>
    <n v="604.79999999999995"/>
    <x v="8"/>
    <x v="3"/>
    <s v="Kinnistute, hoonete ja ruumide majandamiskulud"/>
    <s v="2"/>
    <x v="1"/>
    <m/>
    <m/>
    <s v="31"/>
    <s v="Vinni Lasteaed"/>
    <x v="8"/>
    <x v="1"/>
    <x v="8"/>
    <s v=""/>
    <s v=""/>
    <x v="4"/>
    <x v="1"/>
    <m/>
    <m/>
    <n v="604.79999999999995"/>
  </r>
  <r>
    <x v="280"/>
    <n v="1500"/>
    <x v="8"/>
    <x v="3"/>
    <s v="Kinnistute, hoonete ja ruumide majandamiskulud"/>
    <s v="2"/>
    <x v="1"/>
    <m/>
    <m/>
    <s v="31"/>
    <s v="Vinni Lasteaed"/>
    <x v="8"/>
    <x v="1"/>
    <x v="8"/>
    <s v=""/>
    <s v=""/>
    <x v="4"/>
    <x v="1"/>
    <m/>
    <m/>
    <n v="1500"/>
  </r>
  <r>
    <x v="281"/>
    <n v="500"/>
    <x v="8"/>
    <x v="3"/>
    <s v="Kinnistute, hoonete ja ruumide majandamiskulud"/>
    <s v="2"/>
    <x v="1"/>
    <m/>
    <m/>
    <s v="31"/>
    <s v="Vinni Lasteaed"/>
    <x v="8"/>
    <x v="1"/>
    <x v="8"/>
    <s v=""/>
    <s v=""/>
    <x v="4"/>
    <x v="1"/>
    <m/>
    <m/>
    <n v="500"/>
  </r>
  <r>
    <x v="282"/>
    <n v="4000"/>
    <x v="2"/>
    <x v="1"/>
    <s v="Antud sihtfinantseerimine tegevuskuludeks"/>
    <s v="2"/>
    <x v="1"/>
    <m/>
    <m/>
    <s v="217"/>
    <s v="Noorsootöö koordineerimine"/>
    <x v="46"/>
    <x v="2"/>
    <x v="46"/>
    <s v=""/>
    <s v=""/>
    <x v="2"/>
    <x v="8"/>
    <m/>
    <m/>
    <n v="4000"/>
  </r>
  <r>
    <x v="283"/>
    <n v="2000"/>
    <x v="28"/>
    <x v="3"/>
    <s v="Mitmesugused majanduskulud"/>
    <s v="2"/>
    <x v="1"/>
    <m/>
    <m/>
    <s v="217"/>
    <s v="Noorsootöö koordineerimine"/>
    <x v="47"/>
    <x v="2"/>
    <x v="47"/>
    <s v=""/>
    <s v=""/>
    <x v="4"/>
    <x v="8"/>
    <m/>
    <m/>
    <n v="2000"/>
  </r>
  <r>
    <x v="4"/>
    <n v="2103.73"/>
    <x v="4"/>
    <x v="2"/>
    <s v="Tööjõukuludega kaasnevad maksud ja sotsiaalkindlustusmaksed"/>
    <s v="2"/>
    <x v="1"/>
    <m/>
    <m/>
    <s v="217"/>
    <s v="Noorsootöö koordineerimine"/>
    <x v="47"/>
    <x v="2"/>
    <x v="47"/>
    <s v=""/>
    <s v=""/>
    <x v="3"/>
    <x v="8"/>
    <m/>
    <m/>
    <n v="2103.73"/>
  </r>
  <r>
    <x v="62"/>
    <n v="6224.04"/>
    <x v="3"/>
    <x v="2"/>
    <s v="Töötajate töötasud"/>
    <s v="2"/>
    <x v="1"/>
    <m/>
    <m/>
    <s v="217"/>
    <s v="Noorsootöö koordineerimine"/>
    <x v="47"/>
    <x v="2"/>
    <x v="47"/>
    <s v=""/>
    <s v=""/>
    <x v="3"/>
    <x v="8"/>
    <m/>
    <m/>
    <n v="6224.04"/>
  </r>
  <r>
    <x v="284"/>
    <n v="23350"/>
    <x v="2"/>
    <x v="1"/>
    <s v="Antud sihtfinantseerimine tegevuskuludeks"/>
    <s v="2"/>
    <x v="1"/>
    <m/>
    <m/>
    <s v="63"/>
    <s v="Pajusti klubi"/>
    <x v="48"/>
    <x v="2"/>
    <x v="48"/>
    <s v=""/>
    <s v=""/>
    <x v="2"/>
    <x v="2"/>
    <m/>
    <m/>
    <n v="23350"/>
  </r>
  <r>
    <x v="285"/>
    <n v="16000"/>
    <x v="9"/>
    <x v="3"/>
    <s v="Administreerimiskulud"/>
    <s v="2"/>
    <x v="1"/>
    <m/>
    <m/>
    <s v="23"/>
    <s v="Finantsteenistus"/>
    <x v="49"/>
    <x v="2"/>
    <x v="49"/>
    <s v=""/>
    <s v=""/>
    <x v="4"/>
    <x v="22"/>
    <m/>
    <m/>
    <n v="16000"/>
  </r>
  <r>
    <x v="286"/>
    <m/>
    <x v="28"/>
    <x v="3"/>
    <s v="Mitmesugused majanduskulud"/>
    <s v="2"/>
    <x v="1"/>
    <m/>
    <m/>
    <s v="213"/>
    <s v="Spordinõunik"/>
    <x v="50"/>
    <x v="2"/>
    <x v="50"/>
    <s v=""/>
    <s v=""/>
    <x v="4"/>
    <x v="13"/>
    <m/>
    <m/>
    <n v="0"/>
  </r>
  <r>
    <x v="287"/>
    <m/>
    <x v="11"/>
    <x v="3"/>
    <s v="Kütus"/>
    <s v="2"/>
    <x v="1"/>
    <m/>
    <m/>
    <s v="213"/>
    <s v="Spordinõunik"/>
    <x v="50"/>
    <x v="2"/>
    <x v="50"/>
    <s v=""/>
    <s v=""/>
    <x v="4"/>
    <x v="13"/>
    <m/>
    <m/>
    <n v="0"/>
  </r>
  <r>
    <x v="61"/>
    <n v="4020"/>
    <x v="14"/>
    <x v="3"/>
    <s v="Isikliku sõiduauto kompensatsioon"/>
    <s v="2"/>
    <x v="1"/>
    <m/>
    <m/>
    <s v="213"/>
    <s v="Spordinõunik"/>
    <x v="50"/>
    <x v="2"/>
    <x v="50"/>
    <s v=""/>
    <s v=""/>
    <x v="4"/>
    <x v="13"/>
    <m/>
    <m/>
    <n v="4020"/>
  </r>
  <r>
    <x v="288"/>
    <n v="180"/>
    <x v="9"/>
    <x v="3"/>
    <s v="Administreerimiskulud"/>
    <s v="2"/>
    <x v="1"/>
    <m/>
    <m/>
    <s v="213"/>
    <s v="Spordinõunik"/>
    <x v="50"/>
    <x v="2"/>
    <x v="50"/>
    <m/>
    <m/>
    <x v="4"/>
    <x v="13"/>
    <m/>
    <m/>
    <n v="180"/>
  </r>
  <r>
    <x v="4"/>
    <n v="6327.36"/>
    <x v="4"/>
    <x v="2"/>
    <s v="Tööjõukuludega kaasnevad maksud ja sotsiaalkindlustusmaksed"/>
    <s v="2"/>
    <x v="1"/>
    <m/>
    <m/>
    <s v="213"/>
    <s v="Spordinõunik"/>
    <x v="50"/>
    <x v="2"/>
    <x v="50"/>
    <s v=""/>
    <s v=""/>
    <x v="3"/>
    <x v="13"/>
    <m/>
    <m/>
    <n v="6327.36"/>
  </r>
  <r>
    <x v="289"/>
    <n v="18720"/>
    <x v="3"/>
    <x v="2"/>
    <s v="Töötajate töötasud"/>
    <s v="2"/>
    <x v="1"/>
    <m/>
    <m/>
    <s v="213"/>
    <s v="Spordinõunik"/>
    <x v="50"/>
    <x v="2"/>
    <x v="50"/>
    <s v=""/>
    <s v=""/>
    <x v="3"/>
    <x v="13"/>
    <m/>
    <m/>
    <n v="18720"/>
  </r>
  <r>
    <x v="290"/>
    <n v="72000"/>
    <x v="2"/>
    <x v="1"/>
    <s v="Antud sihtfinantseerimine tegevuskuludeks"/>
    <s v="2"/>
    <x v="1"/>
    <m/>
    <m/>
    <s v="217"/>
    <s v="Noorsootöö koordineerimine"/>
    <x v="51"/>
    <x v="2"/>
    <x v="51"/>
    <s v=""/>
    <s v=""/>
    <x v="2"/>
    <x v="8"/>
    <m/>
    <m/>
    <n v="72000"/>
  </r>
  <r>
    <x v="291"/>
    <n v="720"/>
    <x v="25"/>
    <x v="3"/>
    <s v="Kommunikatsiooni-, kultuuri- ja vaba aja sisustamise kulud"/>
    <s v="2"/>
    <x v="1"/>
    <m/>
    <m/>
    <s v="2"/>
    <s v="Valla- ja linnavalitsus"/>
    <x v="52"/>
    <x v="2"/>
    <x v="52"/>
    <s v=""/>
    <s v=""/>
    <x v="4"/>
    <x v="2"/>
    <m/>
    <m/>
    <n v="720"/>
  </r>
  <r>
    <x v="292"/>
    <n v="32000"/>
    <x v="25"/>
    <x v="3"/>
    <s v="Kommunikatsiooni-, kultuuri- ja vaba aja sisustamise kulud"/>
    <s v="2"/>
    <x v="1"/>
    <m/>
    <m/>
    <s v="2"/>
    <s v="Valla- ja linnavalitsus"/>
    <x v="52"/>
    <x v="2"/>
    <x v="52"/>
    <s v=""/>
    <s v=""/>
    <x v="4"/>
    <x v="2"/>
    <m/>
    <m/>
    <n v="32000"/>
  </r>
  <r>
    <x v="293"/>
    <n v="41340"/>
    <x v="15"/>
    <x v="3"/>
    <s v="Õppevahendite ja koolituse kulud"/>
    <s v="2"/>
    <x v="1"/>
    <m/>
    <m/>
    <s v="25"/>
    <s v="Haridusteenistus"/>
    <x v="53"/>
    <x v="1"/>
    <x v="53"/>
    <s v=""/>
    <s v=""/>
    <x v="4"/>
    <x v="9"/>
    <m/>
    <m/>
    <n v="41340"/>
  </r>
  <r>
    <x v="294"/>
    <n v="11640"/>
    <x v="15"/>
    <x v="3"/>
    <s v="Õppevahendite ja koolituse kulud"/>
    <s v="2"/>
    <x v="1"/>
    <m/>
    <m/>
    <s v="25"/>
    <s v="Haridusteenistus"/>
    <x v="53"/>
    <x v="1"/>
    <x v="53"/>
    <s v=""/>
    <s v=""/>
    <x v="4"/>
    <x v="9"/>
    <m/>
    <m/>
    <n v="11640"/>
  </r>
  <r>
    <x v="295"/>
    <n v="98000"/>
    <x v="15"/>
    <x v="3"/>
    <s v="Õppevahendite ja koolituse kulud"/>
    <s v="2"/>
    <x v="1"/>
    <m/>
    <m/>
    <s v="25"/>
    <s v="Haridusteenistus"/>
    <x v="54"/>
    <x v="1"/>
    <x v="54"/>
    <s v=""/>
    <s v=""/>
    <x v="4"/>
    <x v="9"/>
    <m/>
    <m/>
    <n v="98000"/>
  </r>
  <r>
    <x v="296"/>
    <n v="1984"/>
    <x v="3"/>
    <x v="2"/>
    <s v="Töötajate töötasud"/>
    <s v="2"/>
    <x v="1"/>
    <m/>
    <m/>
    <s v="44"/>
    <s v="Tudu kool"/>
    <x v="55"/>
    <x v="1"/>
    <x v="55"/>
    <s v=""/>
    <s v=""/>
    <x v="3"/>
    <x v="1"/>
    <m/>
    <m/>
    <n v="1984"/>
  </r>
  <r>
    <x v="4"/>
    <n v="14943.66"/>
    <x v="4"/>
    <x v="2"/>
    <s v="Tööjõukuludega kaasnevad maksud ja sotsiaalkindlustusmaksed"/>
    <s v="2"/>
    <x v="1"/>
    <m/>
    <m/>
    <s v="44"/>
    <s v="Tudu kool"/>
    <x v="55"/>
    <x v="1"/>
    <x v="55"/>
    <s v=""/>
    <s v=""/>
    <x v="3"/>
    <x v="1"/>
    <m/>
    <m/>
    <n v="14943.66"/>
  </r>
  <r>
    <x v="297"/>
    <n v="1752"/>
    <x v="3"/>
    <x v="2"/>
    <s v="Töötajate töötasud"/>
    <s v="2"/>
    <x v="1"/>
    <m/>
    <m/>
    <s v="44"/>
    <s v="Tudu kool"/>
    <x v="55"/>
    <x v="1"/>
    <x v="55"/>
    <s v=""/>
    <s v=""/>
    <x v="3"/>
    <x v="1"/>
    <m/>
    <m/>
    <n v="1752"/>
  </r>
  <r>
    <x v="70"/>
    <n v="9120"/>
    <x v="3"/>
    <x v="2"/>
    <s v="Töötajate töötasud"/>
    <s v="2"/>
    <x v="1"/>
    <m/>
    <m/>
    <s v="44"/>
    <s v="Tudu kool"/>
    <x v="55"/>
    <x v="1"/>
    <x v="55"/>
    <s v=""/>
    <s v=""/>
    <x v="3"/>
    <x v="1"/>
    <m/>
    <m/>
    <n v="9120"/>
  </r>
  <r>
    <x v="71"/>
    <n v="16104"/>
    <x v="3"/>
    <x v="2"/>
    <s v="Töötajate töötasud"/>
    <s v="2"/>
    <x v="1"/>
    <m/>
    <m/>
    <s v="44"/>
    <s v="Tudu kool"/>
    <x v="55"/>
    <x v="1"/>
    <x v="55"/>
    <s v=""/>
    <s v=""/>
    <x v="3"/>
    <x v="1"/>
    <m/>
    <m/>
    <n v="16104"/>
  </r>
  <r>
    <x v="71"/>
    <n v="15252"/>
    <x v="3"/>
    <x v="2"/>
    <s v="Töötajate töötasud"/>
    <s v="2"/>
    <x v="1"/>
    <m/>
    <m/>
    <s v="44"/>
    <s v="Tudu kool"/>
    <x v="55"/>
    <x v="1"/>
    <x v="55"/>
    <s v=""/>
    <s v=""/>
    <x v="3"/>
    <x v="1"/>
    <m/>
    <m/>
    <n v="15252"/>
  </r>
  <r>
    <x v="77"/>
    <n v="263.76"/>
    <x v="10"/>
    <x v="3"/>
    <s v="Info- ja kommunikatsioonitehnoloogia kulud"/>
    <s v="2"/>
    <x v="1"/>
    <m/>
    <m/>
    <s v="44"/>
    <s v="Tudu kool"/>
    <x v="55"/>
    <x v="1"/>
    <x v="55"/>
    <s v=""/>
    <s v=""/>
    <x v="4"/>
    <x v="1"/>
    <m/>
    <m/>
    <n v="263.76"/>
  </r>
  <r>
    <x v="4"/>
    <n v="28696.67"/>
    <x v="4"/>
    <x v="2"/>
    <s v="Tööjõukuludega kaasnevad maksud ja sotsiaalkindlustusmaksed"/>
    <s v="2"/>
    <x v="1"/>
    <m/>
    <m/>
    <s v="43"/>
    <s v="Roela kool"/>
    <x v="56"/>
    <x v="1"/>
    <x v="56"/>
    <s v=""/>
    <s v=""/>
    <x v="3"/>
    <x v="1"/>
    <m/>
    <m/>
    <n v="28696.67"/>
  </r>
  <r>
    <x v="73"/>
    <n v="5930.4"/>
    <x v="3"/>
    <x v="2"/>
    <s v="Töötajate töötasud"/>
    <s v="2"/>
    <x v="1"/>
    <m/>
    <m/>
    <s v="43"/>
    <s v="Roela kool"/>
    <x v="56"/>
    <x v="1"/>
    <x v="56"/>
    <s v=""/>
    <s v=""/>
    <x v="3"/>
    <x v="1"/>
    <m/>
    <m/>
    <n v="5930.4"/>
  </r>
  <r>
    <x v="72"/>
    <n v="2288"/>
    <x v="3"/>
    <x v="2"/>
    <s v="Töötajate töötasud"/>
    <s v="2"/>
    <x v="1"/>
    <m/>
    <m/>
    <s v="43"/>
    <s v="Roela kool"/>
    <x v="56"/>
    <x v="1"/>
    <x v="56"/>
    <s v=""/>
    <s v=""/>
    <x v="3"/>
    <x v="1"/>
    <m/>
    <m/>
    <n v="2288"/>
  </r>
  <r>
    <x v="298"/>
    <n v="16944"/>
    <x v="3"/>
    <x v="2"/>
    <s v="Töötajate töötasud"/>
    <s v="2"/>
    <x v="1"/>
    <m/>
    <m/>
    <s v="43"/>
    <s v="Roela kool"/>
    <x v="56"/>
    <x v="1"/>
    <x v="56"/>
    <s v=""/>
    <s v=""/>
    <x v="3"/>
    <x v="1"/>
    <m/>
    <m/>
    <n v="16944"/>
  </r>
  <r>
    <x v="71"/>
    <n v="5931"/>
    <x v="3"/>
    <x v="2"/>
    <s v="Töötajate töötasud"/>
    <s v="2"/>
    <x v="1"/>
    <m/>
    <m/>
    <s v="43"/>
    <s v="Roela kool"/>
    <x v="56"/>
    <x v="1"/>
    <x v="56"/>
    <s v=""/>
    <s v=""/>
    <x v="3"/>
    <x v="1"/>
    <m/>
    <m/>
    <n v="5931"/>
  </r>
  <r>
    <x v="70"/>
    <n v="7920"/>
    <x v="3"/>
    <x v="2"/>
    <s v="Töötajate töötasud"/>
    <s v="2"/>
    <x v="1"/>
    <m/>
    <m/>
    <s v="43"/>
    <s v="Roela kool"/>
    <x v="56"/>
    <x v="1"/>
    <x v="56"/>
    <s v=""/>
    <s v=""/>
    <x v="3"/>
    <x v="1"/>
    <m/>
    <m/>
    <n v="7920"/>
  </r>
  <r>
    <x v="299"/>
    <n v="3924"/>
    <x v="3"/>
    <x v="2"/>
    <s v="Töötajate töötasud"/>
    <s v="2"/>
    <x v="1"/>
    <m/>
    <m/>
    <s v="43"/>
    <s v="Roela kool"/>
    <x v="56"/>
    <x v="1"/>
    <x v="56"/>
    <s v=""/>
    <s v=""/>
    <x v="3"/>
    <x v="1"/>
    <m/>
    <m/>
    <n v="3924"/>
  </r>
  <r>
    <x v="42"/>
    <n v="2364"/>
    <x v="3"/>
    <x v="2"/>
    <s v="Töötajate töötasud"/>
    <s v="2"/>
    <x v="1"/>
    <m/>
    <m/>
    <s v="43"/>
    <s v="Roela kool"/>
    <x v="56"/>
    <x v="1"/>
    <x v="56"/>
    <s v=""/>
    <s v=""/>
    <x v="3"/>
    <x v="1"/>
    <m/>
    <m/>
    <n v="2364"/>
  </r>
  <r>
    <x v="71"/>
    <n v="30504"/>
    <x v="3"/>
    <x v="2"/>
    <s v="Töötajate töötasud"/>
    <s v="2"/>
    <x v="1"/>
    <m/>
    <m/>
    <s v="43"/>
    <s v="Roela kool"/>
    <x v="56"/>
    <x v="1"/>
    <x v="56"/>
    <s v=""/>
    <s v=""/>
    <x v="3"/>
    <x v="1"/>
    <m/>
    <m/>
    <n v="30504"/>
  </r>
  <r>
    <x v="70"/>
    <n v="9096"/>
    <x v="3"/>
    <x v="2"/>
    <s v="Töötajate töötasud"/>
    <s v="2"/>
    <x v="1"/>
    <m/>
    <m/>
    <s v="43"/>
    <s v="Roela kool"/>
    <x v="56"/>
    <x v="1"/>
    <x v="56"/>
    <s v=""/>
    <s v=""/>
    <x v="3"/>
    <x v="1"/>
    <m/>
    <m/>
    <n v="9096"/>
  </r>
  <r>
    <x v="63"/>
    <n v="5261.76"/>
    <x v="16"/>
    <x v="3"/>
    <s v="Toiduained ja toitlustusteenused"/>
    <s v="2"/>
    <x v="1"/>
    <m/>
    <m/>
    <s v="43"/>
    <s v="Roela kool"/>
    <x v="56"/>
    <x v="1"/>
    <x v="56"/>
    <s v=""/>
    <s v=""/>
    <x v="4"/>
    <x v="1"/>
    <m/>
    <m/>
    <n v="5261.76"/>
  </r>
  <r>
    <x v="77"/>
    <n v="333"/>
    <x v="10"/>
    <x v="3"/>
    <s v="Info- ja kommunikatsioonitehnoloogia kulud"/>
    <s v="2"/>
    <x v="1"/>
    <m/>
    <m/>
    <s v="43"/>
    <s v="Roela kool"/>
    <x v="56"/>
    <x v="1"/>
    <x v="56"/>
    <s v=""/>
    <s v=""/>
    <x v="4"/>
    <x v="1"/>
    <m/>
    <m/>
    <n v="333"/>
  </r>
  <r>
    <x v="300"/>
    <n v="2520"/>
    <x v="24"/>
    <x v="5"/>
    <s v="Peretoetused"/>
    <s v="2"/>
    <x v="1"/>
    <m/>
    <m/>
    <s v="24"/>
    <s v="Sotsiaalteenistus"/>
    <x v="57"/>
    <x v="4"/>
    <x v="57"/>
    <s v=""/>
    <s v=""/>
    <x v="7"/>
    <x v="16"/>
    <m/>
    <m/>
    <n v="2520"/>
  </r>
  <r>
    <x v="301"/>
    <n v="2880"/>
    <x v="32"/>
    <x v="5"/>
    <s v="Muud sotsiaalabitoetused"/>
    <s v="2"/>
    <x v="1"/>
    <m/>
    <m/>
    <s v="24"/>
    <s v="Sotsiaalteenistus"/>
    <x v="58"/>
    <x v="4"/>
    <x v="58"/>
    <s v=""/>
    <s v=""/>
    <x v="7"/>
    <x v="10"/>
    <m/>
    <m/>
    <n v="2880"/>
  </r>
  <r>
    <x v="302"/>
    <n v="500"/>
    <x v="32"/>
    <x v="5"/>
    <s v="Muud sotsiaalabitoetused"/>
    <s v="2"/>
    <x v="1"/>
    <m/>
    <m/>
    <s v="24"/>
    <s v="Sotsiaalteenistus"/>
    <x v="58"/>
    <x v="4"/>
    <x v="58"/>
    <s v=""/>
    <s v=""/>
    <x v="7"/>
    <x v="10"/>
    <m/>
    <m/>
    <n v="500"/>
  </r>
  <r>
    <x v="303"/>
    <n v="8900"/>
    <x v="32"/>
    <x v="5"/>
    <s v="Muud sotsiaalabitoetused"/>
    <s v="2"/>
    <x v="1"/>
    <m/>
    <m/>
    <s v="24"/>
    <s v="Sotsiaalteenistus"/>
    <x v="58"/>
    <x v="4"/>
    <x v="58"/>
    <s v=""/>
    <s v=""/>
    <x v="7"/>
    <x v="10"/>
    <m/>
    <m/>
    <n v="8900"/>
  </r>
  <r>
    <x v="304"/>
    <n v="400"/>
    <x v="32"/>
    <x v="5"/>
    <s v="Muud sotsiaalabitoetused"/>
    <s v="2"/>
    <x v="1"/>
    <m/>
    <m/>
    <s v="24"/>
    <s v="Sotsiaalteenistus"/>
    <x v="58"/>
    <x v="4"/>
    <x v="58"/>
    <s v=""/>
    <s v=""/>
    <x v="7"/>
    <x v="10"/>
    <m/>
    <m/>
    <n v="400"/>
  </r>
  <r>
    <x v="305"/>
    <n v="8000"/>
    <x v="32"/>
    <x v="5"/>
    <s v="Muud sotsiaalabitoetused"/>
    <s v="2"/>
    <x v="1"/>
    <m/>
    <m/>
    <s v="24"/>
    <s v="Sotsiaalteenistus"/>
    <x v="59"/>
    <x v="4"/>
    <x v="59"/>
    <s v=""/>
    <s v=""/>
    <x v="7"/>
    <x v="10"/>
    <m/>
    <m/>
    <n v="8000"/>
  </r>
  <r>
    <x v="306"/>
    <n v="13200"/>
    <x v="32"/>
    <x v="5"/>
    <s v="Muud sotsiaalabitoetused"/>
    <s v="2"/>
    <x v="1"/>
    <m/>
    <m/>
    <s v="24"/>
    <s v="Sotsiaalteenistus"/>
    <x v="59"/>
    <x v="4"/>
    <x v="59"/>
    <s v=""/>
    <s v=""/>
    <x v="7"/>
    <x v="10"/>
    <m/>
    <m/>
    <n v="13200"/>
  </r>
  <r>
    <x v="307"/>
    <n v="17000"/>
    <x v="27"/>
    <x v="5"/>
    <s v="Toetused puudega inimestele ja nende hooldajatele"/>
    <s v="2"/>
    <x v="1"/>
    <m/>
    <m/>
    <s v="24"/>
    <s v="Sotsiaalteenistus"/>
    <x v="60"/>
    <x v="4"/>
    <x v="60"/>
    <s v=""/>
    <s v=""/>
    <x v="7"/>
    <x v="18"/>
    <m/>
    <m/>
    <n v="17000"/>
  </r>
  <r>
    <x v="308"/>
    <n v="1200"/>
    <x v="23"/>
    <x v="3"/>
    <s v="Sotsiaalteenused"/>
    <s v="2"/>
    <x v="1"/>
    <m/>
    <m/>
    <s v="24"/>
    <s v="Sotsiaalteenistus"/>
    <x v="61"/>
    <x v="4"/>
    <x v="61"/>
    <s v=""/>
    <s v=""/>
    <x v="4"/>
    <x v="18"/>
    <m/>
    <m/>
    <n v="1200"/>
  </r>
  <r>
    <x v="309"/>
    <n v="65000"/>
    <x v="33"/>
    <x v="5"/>
    <s v="Erijuhtudel riigi poolt makstavad maksud"/>
    <s v="2"/>
    <x v="1"/>
    <m/>
    <m/>
    <s v="24"/>
    <s v="Sotsiaalteenistus"/>
    <x v="62"/>
    <x v="4"/>
    <x v="14"/>
    <s v=""/>
    <s v=""/>
    <x v="7"/>
    <x v="18"/>
    <m/>
    <m/>
    <n v="65000"/>
  </r>
  <r>
    <x v="310"/>
    <n v="140000"/>
    <x v="27"/>
    <x v="5"/>
    <s v="Toetused puudega inimestele ja nende hooldajatele"/>
    <s v="2"/>
    <x v="1"/>
    <m/>
    <m/>
    <s v="24"/>
    <s v="Sotsiaalteenistus"/>
    <x v="62"/>
    <x v="4"/>
    <x v="14"/>
    <s v=""/>
    <s v=""/>
    <x v="7"/>
    <x v="18"/>
    <m/>
    <m/>
    <n v="140000"/>
  </r>
  <r>
    <x v="311"/>
    <n v="47000"/>
    <x v="34"/>
    <x v="5"/>
    <s v="Toetused puudega inimestele ja nende hooldajatele - transport"/>
    <s v="2"/>
    <x v="1"/>
    <m/>
    <m/>
    <s v="24"/>
    <s v="Sotsiaalteenistus"/>
    <x v="63"/>
    <x v="4"/>
    <x v="62"/>
    <s v=""/>
    <s v=""/>
    <x v="7"/>
    <x v="18"/>
    <m/>
    <m/>
    <n v="47000"/>
  </r>
  <r>
    <x v="312"/>
    <n v="5940"/>
    <x v="27"/>
    <x v="5"/>
    <s v="Toetused puudega inimestele ja nende hooldajatele"/>
    <s v="2"/>
    <x v="1"/>
    <m/>
    <m/>
    <s v="24"/>
    <s v="Sotsiaalteenistus"/>
    <x v="64"/>
    <x v="4"/>
    <x v="63"/>
    <s v=""/>
    <s v=""/>
    <x v="7"/>
    <x v="18"/>
    <m/>
    <m/>
    <n v="5940"/>
  </r>
  <r>
    <x v="313"/>
    <n v="12500"/>
    <x v="2"/>
    <x v="1"/>
    <s v="Antud sihtfinantseerimine tegevuskuludeks"/>
    <s v="2"/>
    <x v="1"/>
    <m/>
    <m/>
    <s v="24"/>
    <s v="Sotsiaalteenistus"/>
    <x v="65"/>
    <x v="4"/>
    <x v="64"/>
    <s v=""/>
    <s v=""/>
    <x v="2"/>
    <x v="23"/>
    <m/>
    <m/>
    <n v="12500"/>
  </r>
  <r>
    <x v="314"/>
    <n v="1000"/>
    <x v="25"/>
    <x v="3"/>
    <s v="Kommunikatsiooni-, kultuuri- ja vaba aja sisustamise kulud"/>
    <s v="2"/>
    <x v="1"/>
    <m/>
    <m/>
    <s v="2"/>
    <s v="Valla- ja linnavalitsus"/>
    <x v="66"/>
    <x v="2"/>
    <x v="65"/>
    <s v=""/>
    <s v=""/>
    <x v="4"/>
    <x v="2"/>
    <m/>
    <m/>
    <n v="1000"/>
  </r>
  <r>
    <x v="315"/>
    <n v="2500"/>
    <x v="35"/>
    <x v="2"/>
    <s v="Muude isikute töötasud"/>
    <s v="2"/>
    <x v="1"/>
    <m/>
    <m/>
    <s v="2"/>
    <s v="Valla- ja linnavalitsus"/>
    <x v="66"/>
    <x v="2"/>
    <x v="65"/>
    <s v=""/>
    <s v=""/>
    <x v="3"/>
    <x v="2"/>
    <m/>
    <m/>
    <n v="2500"/>
  </r>
  <r>
    <x v="316"/>
    <n v="704"/>
    <x v="14"/>
    <x v="3"/>
    <s v="Isikliku sõiduauto kompensatsioon"/>
    <s v="2"/>
    <x v="1"/>
    <m/>
    <m/>
    <s v="84"/>
    <s v="Vinni Päevakeskus"/>
    <x v="67"/>
    <x v="4"/>
    <x v="66"/>
    <s v=""/>
    <s v=""/>
    <x v="4"/>
    <x v="15"/>
    <m/>
    <m/>
    <n v="704"/>
  </r>
  <r>
    <x v="3"/>
    <n v="7848"/>
    <x v="3"/>
    <x v="2"/>
    <s v="Töötajate töötasud"/>
    <s v="2"/>
    <x v="1"/>
    <m/>
    <m/>
    <s v="84"/>
    <s v="Vinni Päevakeskus"/>
    <x v="67"/>
    <x v="4"/>
    <x v="66"/>
    <s v=""/>
    <s v=""/>
    <x v="3"/>
    <x v="15"/>
    <m/>
    <m/>
    <n v="7848"/>
  </r>
  <r>
    <x v="4"/>
    <n v="2652.62"/>
    <x v="4"/>
    <x v="2"/>
    <s v="Tööjõukuludega kaasnevad maksud ja sotsiaalkindlustusmaksed"/>
    <s v="2"/>
    <x v="1"/>
    <m/>
    <m/>
    <s v="84"/>
    <s v="Vinni Päevakeskus"/>
    <x v="67"/>
    <x v="4"/>
    <x v="66"/>
    <s v=""/>
    <s v=""/>
    <x v="3"/>
    <x v="15"/>
    <m/>
    <m/>
    <n v="2652.62"/>
  </r>
  <r>
    <x v="317"/>
    <n v="120000"/>
    <x v="2"/>
    <x v="1"/>
    <s v="Antud sihtfinantseerimine tegevuskuludeks"/>
    <s v="2"/>
    <x v="1"/>
    <m/>
    <m/>
    <s v="73"/>
    <s v="Vinni Spordikompleks"/>
    <x v="68"/>
    <x v="2"/>
    <x v="67"/>
    <m/>
    <m/>
    <x v="2"/>
    <x v="13"/>
    <m/>
    <m/>
    <n v="120000"/>
  </r>
  <r>
    <x v="69"/>
    <n v="5881.2"/>
    <x v="16"/>
    <x v="3"/>
    <s v="Toiduained ja toitlustusteenused"/>
    <s v="2"/>
    <x v="1"/>
    <m/>
    <m/>
    <s v="35"/>
    <s v="Ulvi Lasteaed"/>
    <x v="69"/>
    <x v="1"/>
    <x v="68"/>
    <m/>
    <m/>
    <x v="4"/>
    <x v="1"/>
    <m/>
    <m/>
    <n v="5881.2"/>
  </r>
  <r>
    <x v="70"/>
    <n v="15120"/>
    <x v="3"/>
    <x v="2"/>
    <s v="Töötajate töötasud"/>
    <s v="2"/>
    <x v="1"/>
    <m/>
    <m/>
    <s v="35"/>
    <s v="Ulvi Lasteaed"/>
    <x v="69"/>
    <x v="1"/>
    <x v="68"/>
    <s v=""/>
    <s v=""/>
    <x v="3"/>
    <x v="1"/>
    <m/>
    <m/>
    <n v="15120"/>
  </r>
  <r>
    <x v="4"/>
    <n v="26805.43"/>
    <x v="4"/>
    <x v="2"/>
    <s v="Tööjõukuludega kaasnevad maksud ja sotsiaalkindlustusmaksed"/>
    <s v="2"/>
    <x v="1"/>
    <m/>
    <m/>
    <s v="35"/>
    <s v="Ulvi Lasteaed"/>
    <x v="69"/>
    <x v="1"/>
    <x v="68"/>
    <s v=""/>
    <s v=""/>
    <x v="3"/>
    <x v="1"/>
    <m/>
    <m/>
    <n v="26805.43"/>
  </r>
  <r>
    <x v="71"/>
    <n v="61008"/>
    <x v="3"/>
    <x v="2"/>
    <s v="Töötajate töötasud"/>
    <s v="2"/>
    <x v="1"/>
    <m/>
    <m/>
    <s v="35"/>
    <s v="Ulvi Lasteaed"/>
    <x v="69"/>
    <x v="1"/>
    <x v="68"/>
    <s v=""/>
    <s v=""/>
    <x v="3"/>
    <x v="1"/>
    <m/>
    <m/>
    <n v="61008"/>
  </r>
  <r>
    <x v="168"/>
    <n v="1600"/>
    <x v="7"/>
    <x v="3"/>
    <s v="Vesi ja kanalisatsioon"/>
    <s v="2"/>
    <x v="1"/>
    <m/>
    <m/>
    <s v="35"/>
    <s v="Ulvi Lasteaed"/>
    <x v="69"/>
    <x v="1"/>
    <x v="68"/>
    <s v=""/>
    <s v=""/>
    <x v="4"/>
    <x v="1"/>
    <m/>
    <m/>
    <n v="1600"/>
  </r>
  <r>
    <x v="6"/>
    <n v="3500"/>
    <x v="6"/>
    <x v="3"/>
    <s v="Elekter"/>
    <s v="2"/>
    <x v="1"/>
    <m/>
    <m/>
    <s v="35"/>
    <s v="Ulvi Lasteaed"/>
    <x v="69"/>
    <x v="1"/>
    <x v="68"/>
    <s v=""/>
    <s v=""/>
    <x v="4"/>
    <x v="1"/>
    <m/>
    <m/>
    <n v="3500"/>
  </r>
  <r>
    <x v="318"/>
    <n v="288"/>
    <x v="8"/>
    <x v="3"/>
    <s v="Kinnistute, hoonete ja ruumide majandamiskulud"/>
    <s v="2"/>
    <x v="1"/>
    <m/>
    <m/>
    <s v="35"/>
    <s v="Ulvi Lasteaed"/>
    <x v="69"/>
    <x v="1"/>
    <x v="68"/>
    <s v=""/>
    <s v=""/>
    <x v="4"/>
    <x v="1"/>
    <m/>
    <m/>
    <n v="288"/>
  </r>
  <r>
    <x v="53"/>
    <n v="170.04"/>
    <x v="8"/>
    <x v="3"/>
    <s v="Kinnistute, hoonete ja ruumide majandamiskulud"/>
    <s v="2"/>
    <x v="1"/>
    <m/>
    <m/>
    <s v="35"/>
    <s v="Ulvi Lasteaed"/>
    <x v="69"/>
    <x v="1"/>
    <x v="68"/>
    <s v=""/>
    <s v=""/>
    <x v="4"/>
    <x v="1"/>
    <m/>
    <m/>
    <n v="170.04"/>
  </r>
  <r>
    <x v="133"/>
    <n v="228"/>
    <x v="10"/>
    <x v="3"/>
    <s v="Info- ja kommunikatsioonitehnoloogia kulud"/>
    <s v="2"/>
    <x v="1"/>
    <m/>
    <m/>
    <s v="35"/>
    <s v="Ulvi Lasteaed"/>
    <x v="69"/>
    <x v="1"/>
    <x v="68"/>
    <s v=""/>
    <s v=""/>
    <x v="4"/>
    <x v="1"/>
    <m/>
    <m/>
    <n v="228"/>
  </r>
  <r>
    <x v="319"/>
    <n v="375"/>
    <x v="2"/>
    <x v="1"/>
    <s v="Antud sihtfinantseerimine tegevuskuludeks"/>
    <s v="2"/>
    <x v="1"/>
    <m/>
    <m/>
    <s v="25"/>
    <s v="Haridusteenistus"/>
    <x v="70"/>
    <x v="1"/>
    <x v="69"/>
    <s v=""/>
    <s v=""/>
    <x v="2"/>
    <x v="20"/>
    <m/>
    <m/>
    <n v="375"/>
  </r>
  <r>
    <x v="319"/>
    <n v="350"/>
    <x v="2"/>
    <x v="1"/>
    <s v="Antud sihtfinantseerimine tegevuskuludeks"/>
    <s v="2"/>
    <x v="1"/>
    <m/>
    <m/>
    <s v="25"/>
    <s v="Haridusteenistus"/>
    <x v="70"/>
    <x v="1"/>
    <x v="69"/>
    <s v=""/>
    <s v=""/>
    <x v="2"/>
    <x v="20"/>
    <m/>
    <m/>
    <n v="350"/>
  </r>
  <r>
    <x v="319"/>
    <n v="375"/>
    <x v="2"/>
    <x v="1"/>
    <s v="Antud sihtfinantseerimine tegevuskuludeks"/>
    <s v="2"/>
    <x v="1"/>
    <m/>
    <m/>
    <s v="25"/>
    <s v="Haridusteenistus"/>
    <x v="70"/>
    <x v="1"/>
    <x v="69"/>
    <s v=""/>
    <s v=""/>
    <x v="2"/>
    <x v="20"/>
    <m/>
    <m/>
    <n v="375"/>
  </r>
  <r>
    <x v="320"/>
    <n v="242660"/>
    <x v="22"/>
    <x v="3"/>
    <s v="Rajatiste majandamiskulud"/>
    <s v="2"/>
    <x v="1"/>
    <m/>
    <m/>
    <s v="216"/>
    <s v="Teede- ja ühistranspordinõunik"/>
    <x v="71"/>
    <x v="6"/>
    <x v="70"/>
    <s v=""/>
    <s v=""/>
    <x v="4"/>
    <x v="24"/>
    <m/>
    <m/>
    <n v="242660"/>
  </r>
  <r>
    <x v="321"/>
    <n v="242660"/>
    <x v="22"/>
    <x v="3"/>
    <s v="Rajatiste majandamiskulud"/>
    <s v="2"/>
    <x v="1"/>
    <m/>
    <m/>
    <s v="216"/>
    <s v="Teede- ja ühistranspordinõunik"/>
    <x v="72"/>
    <x v="6"/>
    <x v="71"/>
    <s v=""/>
    <s v=""/>
    <x v="4"/>
    <x v="24"/>
    <m/>
    <m/>
    <n v="242660"/>
  </r>
  <r>
    <x v="322"/>
    <n v="1440"/>
    <x v="32"/>
    <x v="5"/>
    <s v="Muud sotsiaalabitoetused"/>
    <s v="2"/>
    <x v="1"/>
    <m/>
    <m/>
    <s v="24"/>
    <s v="Sotsiaalteenistus"/>
    <x v="73"/>
    <x v="4"/>
    <x v="72"/>
    <s v=""/>
    <s v=""/>
    <x v="7"/>
    <x v="25"/>
    <m/>
    <m/>
    <n v="1440"/>
  </r>
  <r>
    <x v="323"/>
    <n v="6000"/>
    <x v="32"/>
    <x v="5"/>
    <s v="Muud sotsiaalabitoetused"/>
    <s v="2"/>
    <x v="1"/>
    <m/>
    <m/>
    <s v="24"/>
    <s v="Sotsiaalteenistus"/>
    <x v="73"/>
    <x v="4"/>
    <x v="72"/>
    <s v=""/>
    <s v=""/>
    <x v="7"/>
    <x v="25"/>
    <m/>
    <m/>
    <n v="6000"/>
  </r>
  <r>
    <x v="324"/>
    <n v="3000"/>
    <x v="36"/>
    <x v="5"/>
    <s v="Toetused töötutele"/>
    <s v="2"/>
    <x v="1"/>
    <m/>
    <m/>
    <s v="24"/>
    <s v="Sotsiaalteenistus"/>
    <x v="74"/>
    <x v="4"/>
    <x v="73"/>
    <s v=""/>
    <s v=""/>
    <x v="7"/>
    <x v="26"/>
    <m/>
    <m/>
    <n v="3000"/>
  </r>
  <r>
    <x v="325"/>
    <n v="4000"/>
    <x v="32"/>
    <x v="5"/>
    <s v="Muud sotsiaalabitoetused"/>
    <s v="2"/>
    <x v="1"/>
    <m/>
    <m/>
    <s v="24"/>
    <s v="Sotsiaalteenistus"/>
    <x v="75"/>
    <x v="4"/>
    <x v="74"/>
    <s v=""/>
    <s v=""/>
    <x v="7"/>
    <x v="16"/>
    <m/>
    <m/>
    <n v="4000"/>
  </r>
  <r>
    <x v="326"/>
    <n v="9100"/>
    <x v="32"/>
    <x v="5"/>
    <s v="Muud sotsiaalabitoetused"/>
    <s v="2"/>
    <x v="1"/>
    <m/>
    <m/>
    <s v="24"/>
    <s v="Sotsiaalteenistus"/>
    <x v="75"/>
    <x v="4"/>
    <x v="74"/>
    <s v=""/>
    <s v=""/>
    <x v="7"/>
    <x v="16"/>
    <m/>
    <m/>
    <n v="9100"/>
  </r>
  <r>
    <x v="327"/>
    <n v="22658"/>
    <x v="32"/>
    <x v="5"/>
    <s v="Muud sotsiaalabitoetused"/>
    <s v="2"/>
    <x v="1"/>
    <m/>
    <m/>
    <s v="24"/>
    <s v="Sotsiaalteenistus"/>
    <x v="75"/>
    <x v="4"/>
    <x v="74"/>
    <s v=""/>
    <s v=""/>
    <x v="7"/>
    <x v="16"/>
    <m/>
    <m/>
    <n v="22658"/>
  </r>
  <r>
    <x v="328"/>
    <n v="9000"/>
    <x v="8"/>
    <x v="3"/>
    <s v="Kinnistute, hoonete ja ruumide majandamiskulud"/>
    <s v="2"/>
    <x v="1"/>
    <m/>
    <m/>
    <s v="22"/>
    <s v="Majandusteenistus"/>
    <x v="76"/>
    <x v="7"/>
    <x v="75"/>
    <s v=""/>
    <s v=""/>
    <x v="4"/>
    <x v="27"/>
    <m/>
    <m/>
    <n v="9000"/>
  </r>
  <r>
    <x v="329"/>
    <n v="211.44"/>
    <x v="8"/>
    <x v="3"/>
    <s v="Kinnistute, hoonete ja ruumide majandamiskulud"/>
    <s v="2"/>
    <x v="1"/>
    <m/>
    <m/>
    <s v="22"/>
    <s v="Majandusteenistus"/>
    <x v="76"/>
    <x v="7"/>
    <x v="75"/>
    <s v=""/>
    <s v=""/>
    <x v="4"/>
    <x v="27"/>
    <m/>
    <m/>
    <n v="211.44"/>
  </r>
  <r>
    <x v="330"/>
    <n v="6"/>
    <x v="10"/>
    <x v="3"/>
    <s v="Info- ja kommunikatsioonitehnoloogia kulud"/>
    <s v="2"/>
    <x v="1"/>
    <m/>
    <m/>
    <s v="22"/>
    <s v="Majandusteenistus"/>
    <x v="76"/>
    <x v="7"/>
    <x v="75"/>
    <s v=""/>
    <s v=""/>
    <x v="4"/>
    <x v="27"/>
    <m/>
    <m/>
    <n v="6"/>
  </r>
  <r>
    <x v="331"/>
    <n v="300"/>
    <x v="10"/>
    <x v="3"/>
    <s v="Info- ja kommunikatsioonitehnoloogia kulud"/>
    <s v="2"/>
    <x v="1"/>
    <m/>
    <m/>
    <s v="22"/>
    <s v="Majandusteenistus"/>
    <x v="76"/>
    <x v="7"/>
    <x v="75"/>
    <s v=""/>
    <s v=""/>
    <x v="4"/>
    <x v="27"/>
    <m/>
    <m/>
    <n v="300"/>
  </r>
  <r>
    <x v="332"/>
    <n v="76000"/>
    <x v="37"/>
    <x v="6"/>
    <s v="Võetud pikaajalised laenud nominaalväärtuses"/>
    <s v="5"/>
    <x v="2"/>
    <m/>
    <m/>
    <s v="2"/>
    <s v="Valla- ja linnavalitsus"/>
    <x v="77"/>
    <x v="5"/>
    <x v="76"/>
    <m/>
    <m/>
    <x v="8"/>
    <x v="28"/>
    <m/>
    <m/>
    <n v="76000"/>
  </r>
  <r>
    <x v="333"/>
    <n v="39901.69"/>
    <x v="38"/>
    <x v="7"/>
    <s v="Laenuintressi kulu"/>
    <s v="4"/>
    <x v="0"/>
    <m/>
    <m/>
    <s v="2"/>
    <s v="Valla- ja linnavalitsus"/>
    <x v="77"/>
    <x v="5"/>
    <x v="76"/>
    <s v=""/>
    <s v=""/>
    <x v="9"/>
    <x v="28"/>
    <m/>
    <m/>
    <n v="39901.69"/>
  </r>
  <r>
    <x v="334"/>
    <n v="812835.38000000012"/>
    <x v="37"/>
    <x v="6"/>
    <s v="Võetud pikaajalised laenud nominaalväärtuses"/>
    <s v="5"/>
    <x v="2"/>
    <m/>
    <m/>
    <s v="2"/>
    <s v="Valla- ja linnavalitsus"/>
    <x v="77"/>
    <x v="5"/>
    <x v="76"/>
    <s v=""/>
    <s v=""/>
    <x v="8"/>
    <x v="28"/>
    <m/>
    <m/>
    <n v="812835.38000000012"/>
  </r>
  <r>
    <x v="197"/>
    <n v="1000"/>
    <x v="31"/>
    <x v="3"/>
    <s v="Koolituskulud (sh koolituslähetus)"/>
    <s v="2"/>
    <x v="1"/>
    <m/>
    <m/>
    <s v="2"/>
    <s v="Valla- ja linnavalitsus"/>
    <x v="78"/>
    <x v="8"/>
    <x v="77"/>
    <s v=""/>
    <s v=""/>
    <x v="4"/>
    <x v="29"/>
    <m/>
    <m/>
    <n v="1000"/>
  </r>
  <r>
    <x v="3"/>
    <n v="7848"/>
    <x v="3"/>
    <x v="2"/>
    <s v="Töötajate töötasud"/>
    <s v="2"/>
    <x v="1"/>
    <m/>
    <m/>
    <s v="64"/>
    <s v="Roela Rahvamaja"/>
    <x v="79"/>
    <x v="2"/>
    <x v="78"/>
    <s v=""/>
    <s v=""/>
    <x v="3"/>
    <x v="19"/>
    <m/>
    <m/>
    <n v="7848"/>
  </r>
  <r>
    <x v="4"/>
    <n v="8870.4699999999993"/>
    <x v="4"/>
    <x v="2"/>
    <s v="Tööjõukuludega kaasnevad maksud ja sotsiaalkindlustusmaksed"/>
    <s v="2"/>
    <x v="1"/>
    <m/>
    <m/>
    <s v="64"/>
    <s v="Roela Rahvamaja"/>
    <x v="79"/>
    <x v="2"/>
    <x v="78"/>
    <s v=""/>
    <s v=""/>
    <x v="3"/>
    <x v="19"/>
    <m/>
    <m/>
    <n v="8870.4699999999993"/>
  </r>
  <r>
    <x v="148"/>
    <n v="6804"/>
    <x v="17"/>
    <x v="2"/>
    <s v="Töötasud võlaõiguslike lepingute alusel"/>
    <s v="2"/>
    <x v="1"/>
    <m/>
    <m/>
    <s v="64"/>
    <s v="Roela Rahvamaja"/>
    <x v="79"/>
    <x v="2"/>
    <x v="78"/>
    <s v=""/>
    <s v=""/>
    <x v="3"/>
    <x v="19"/>
    <m/>
    <m/>
    <n v="6804"/>
  </r>
  <r>
    <x v="164"/>
    <n v="1100"/>
    <x v="14"/>
    <x v="3"/>
    <s v="Isikliku sõiduauto kompensatsioon"/>
    <s v="2"/>
    <x v="1"/>
    <m/>
    <m/>
    <s v="64"/>
    <s v="Roela Rahvamaja"/>
    <x v="79"/>
    <x v="2"/>
    <x v="78"/>
    <s v=""/>
    <s v=""/>
    <x v="4"/>
    <x v="19"/>
    <m/>
    <m/>
    <n v="1100"/>
  </r>
  <r>
    <x v="13"/>
    <n v="11592"/>
    <x v="3"/>
    <x v="2"/>
    <s v="Töötajate töötasud"/>
    <s v="2"/>
    <x v="1"/>
    <m/>
    <m/>
    <s v="64"/>
    <s v="Roela Rahvamaja"/>
    <x v="79"/>
    <x v="2"/>
    <x v="78"/>
    <m/>
    <m/>
    <x v="3"/>
    <x v="19"/>
    <m/>
    <m/>
    <n v="11592"/>
  </r>
  <r>
    <x v="6"/>
    <n v="4740"/>
    <x v="6"/>
    <x v="3"/>
    <s v="Elekter"/>
    <s v="2"/>
    <x v="1"/>
    <m/>
    <m/>
    <s v="64"/>
    <s v="Roela Rahvamaja"/>
    <x v="79"/>
    <x v="2"/>
    <x v="78"/>
    <s v=""/>
    <s v=""/>
    <x v="4"/>
    <x v="19"/>
    <m/>
    <m/>
    <n v="4740"/>
  </r>
  <r>
    <x v="8"/>
    <n v="204"/>
    <x v="8"/>
    <x v="3"/>
    <s v="Kinnistute, hoonete ja ruumide majandamiskulud"/>
    <s v="2"/>
    <x v="1"/>
    <m/>
    <m/>
    <s v="64"/>
    <s v="Roela Rahvamaja"/>
    <x v="79"/>
    <x v="2"/>
    <x v="78"/>
    <m/>
    <m/>
    <x v="4"/>
    <x v="19"/>
    <m/>
    <m/>
    <n v="204"/>
  </r>
  <r>
    <x v="150"/>
    <n v="460.16"/>
    <x v="8"/>
    <x v="3"/>
    <s v="Kinnistute, hoonete ja ruumide majandamiskulud"/>
    <s v="2"/>
    <x v="1"/>
    <m/>
    <m/>
    <s v="64"/>
    <s v="Roela Rahvamaja"/>
    <x v="79"/>
    <x v="2"/>
    <x v="78"/>
    <m/>
    <m/>
    <x v="4"/>
    <x v="19"/>
    <m/>
    <m/>
    <n v="460.16"/>
  </r>
  <r>
    <x v="279"/>
    <n v="1920"/>
    <x v="8"/>
    <x v="3"/>
    <s v="Kinnistute, hoonete ja ruumide majandamiskulud"/>
    <s v="2"/>
    <x v="1"/>
    <m/>
    <m/>
    <s v="64"/>
    <s v="Roela Rahvamaja"/>
    <x v="79"/>
    <x v="2"/>
    <x v="78"/>
    <s v=""/>
    <s v=""/>
    <x v="4"/>
    <x v="19"/>
    <m/>
    <m/>
    <n v="1920"/>
  </r>
  <r>
    <x v="48"/>
    <n v="18000"/>
    <x v="5"/>
    <x v="3"/>
    <s v="Küte ja soojusenergia"/>
    <s v="2"/>
    <x v="1"/>
    <m/>
    <m/>
    <s v="64"/>
    <s v="Roela Rahvamaja"/>
    <x v="79"/>
    <x v="2"/>
    <x v="78"/>
    <s v=""/>
    <s v=""/>
    <x v="4"/>
    <x v="19"/>
    <m/>
    <m/>
    <n v="18000"/>
  </r>
  <r>
    <x v="4"/>
    <n v="51492.6"/>
    <x v="4"/>
    <x v="2"/>
    <s v="Tööjõukuludega kaasnevad maksud ja sotsiaalkindlustusmaksed"/>
    <s v="2"/>
    <x v="1"/>
    <m/>
    <m/>
    <s v="82"/>
    <s v="Ulvi Kodu"/>
    <x v="80"/>
    <x v="4"/>
    <x v="79"/>
    <s v=""/>
    <s v=""/>
    <x v="3"/>
    <x v="15"/>
    <m/>
    <m/>
    <n v="51492.6"/>
  </r>
  <r>
    <x v="335"/>
    <n v="75120"/>
    <x v="3"/>
    <x v="2"/>
    <s v="Töötajate töötasud"/>
    <s v="2"/>
    <x v="1"/>
    <m/>
    <m/>
    <s v="82"/>
    <s v="Ulvi Kodu"/>
    <x v="80"/>
    <x v="4"/>
    <x v="79"/>
    <s v=""/>
    <s v=""/>
    <x v="3"/>
    <x v="15"/>
    <m/>
    <m/>
    <n v="75120"/>
  </r>
  <r>
    <x v="164"/>
    <n v="1650"/>
    <x v="14"/>
    <x v="3"/>
    <s v="Isikliku sõiduauto kompensatsioon"/>
    <s v="2"/>
    <x v="1"/>
    <m/>
    <m/>
    <s v="82"/>
    <s v="Ulvi Kodu"/>
    <x v="80"/>
    <x v="4"/>
    <x v="79"/>
    <s v=""/>
    <s v=""/>
    <x v="4"/>
    <x v="15"/>
    <m/>
    <m/>
    <n v="1650"/>
  </r>
  <r>
    <x v="17"/>
    <n v="3924"/>
    <x v="3"/>
    <x v="2"/>
    <s v="Töötajate töötasud"/>
    <s v="2"/>
    <x v="1"/>
    <m/>
    <m/>
    <s v="82"/>
    <s v="Ulvi Kodu"/>
    <x v="80"/>
    <x v="4"/>
    <x v="79"/>
    <s v=""/>
    <s v=""/>
    <x v="3"/>
    <x v="15"/>
    <m/>
    <m/>
    <n v="3924"/>
  </r>
  <r>
    <x v="28"/>
    <n v="8688"/>
    <x v="3"/>
    <x v="2"/>
    <s v="Töötajate töötasud"/>
    <s v="2"/>
    <x v="1"/>
    <m/>
    <m/>
    <s v="41"/>
    <s v="Muuga-Laekvere Kool"/>
    <x v="40"/>
    <x v="1"/>
    <x v="40"/>
    <s v=""/>
    <s v=""/>
    <x v="3"/>
    <x v="6"/>
    <m/>
    <m/>
    <n v="8688"/>
  </r>
  <r>
    <x v="336"/>
    <n v="2400"/>
    <x v="3"/>
    <x v="2"/>
    <s v="Töötajate töötasud"/>
    <s v="2"/>
    <x v="1"/>
    <m/>
    <m/>
    <s v="31"/>
    <s v="Vinni Lasteaed"/>
    <x v="8"/>
    <x v="1"/>
    <x v="8"/>
    <m/>
    <m/>
    <x v="3"/>
    <x v="1"/>
    <m/>
    <m/>
    <n v="2400"/>
  </r>
  <r>
    <x v="46"/>
    <n v="9360"/>
    <x v="3"/>
    <x v="2"/>
    <s v="Töötajate töötasud"/>
    <s v="2"/>
    <x v="1"/>
    <m/>
    <m/>
    <s v="82"/>
    <s v="Ulvi Kodu"/>
    <x v="80"/>
    <x v="4"/>
    <x v="79"/>
    <s v=""/>
    <s v=""/>
    <x v="3"/>
    <x v="15"/>
    <m/>
    <m/>
    <n v="9360"/>
  </r>
  <r>
    <x v="13"/>
    <n v="15648"/>
    <x v="3"/>
    <x v="2"/>
    <s v="Töötajate töötasud"/>
    <s v="2"/>
    <x v="1"/>
    <m/>
    <m/>
    <s v="82"/>
    <s v="Ulvi Kodu"/>
    <x v="80"/>
    <x v="4"/>
    <x v="79"/>
    <s v=""/>
    <s v=""/>
    <x v="3"/>
    <x v="15"/>
    <m/>
    <m/>
    <n v="15648"/>
  </r>
  <r>
    <x v="41"/>
    <n v="10560"/>
    <x v="3"/>
    <x v="2"/>
    <s v="Töötajate töötasud"/>
    <s v="2"/>
    <x v="1"/>
    <m/>
    <m/>
    <s v="82"/>
    <s v="Ulvi Kodu"/>
    <x v="80"/>
    <x v="4"/>
    <x v="79"/>
    <s v=""/>
    <s v=""/>
    <x v="3"/>
    <x v="15"/>
    <m/>
    <m/>
    <n v="10560"/>
  </r>
  <r>
    <x v="196"/>
    <n v="857.52"/>
    <x v="10"/>
    <x v="3"/>
    <s v="Info- ja kommunikatsioonitehnoloogia kulud"/>
    <s v="2"/>
    <x v="1"/>
    <m/>
    <m/>
    <s v="67"/>
    <s v="Venevere Seltsimaja"/>
    <x v="81"/>
    <x v="2"/>
    <x v="80"/>
    <s v=""/>
    <s v=""/>
    <x v="4"/>
    <x v="19"/>
    <m/>
    <m/>
    <n v="857.52"/>
  </r>
  <r>
    <x v="13"/>
    <n v="8280"/>
    <x v="3"/>
    <x v="2"/>
    <s v="Töötajate töötasud"/>
    <s v="2"/>
    <x v="1"/>
    <m/>
    <m/>
    <s v="67"/>
    <s v="Venevere Seltsimaja"/>
    <x v="81"/>
    <x v="2"/>
    <x v="80"/>
    <s v=""/>
    <s v=""/>
    <x v="3"/>
    <x v="19"/>
    <m/>
    <m/>
    <n v="8280"/>
  </r>
  <r>
    <x v="4"/>
    <n v="3005.5"/>
    <x v="4"/>
    <x v="2"/>
    <s v="Tööjõukuludega kaasnevad maksud ja sotsiaalkindlustusmaksed"/>
    <s v="2"/>
    <x v="1"/>
    <m/>
    <m/>
    <s v="67"/>
    <s v="Venevere Seltsimaja"/>
    <x v="81"/>
    <x v="2"/>
    <x v="80"/>
    <s v=""/>
    <s v=""/>
    <x v="3"/>
    <x v="19"/>
    <m/>
    <m/>
    <n v="3005.5"/>
  </r>
  <r>
    <x v="73"/>
    <n v="612"/>
    <x v="17"/>
    <x v="2"/>
    <s v="Töötasud võlaõiguslike lepingute alusel"/>
    <s v="2"/>
    <x v="1"/>
    <m/>
    <m/>
    <s v="67"/>
    <s v="Venevere Seltsimaja"/>
    <x v="81"/>
    <x v="2"/>
    <x v="80"/>
    <s v=""/>
    <s v=""/>
    <x v="3"/>
    <x v="19"/>
    <m/>
    <m/>
    <n v="612"/>
  </r>
  <r>
    <x v="6"/>
    <n v="6540"/>
    <x v="6"/>
    <x v="3"/>
    <s v="Elekter"/>
    <s v="2"/>
    <x v="1"/>
    <m/>
    <m/>
    <s v="67"/>
    <s v="Venevere Seltsimaja"/>
    <x v="81"/>
    <x v="2"/>
    <x v="80"/>
    <s v=""/>
    <s v=""/>
    <x v="4"/>
    <x v="19"/>
    <m/>
    <m/>
    <n v="6540"/>
  </r>
  <r>
    <x v="7"/>
    <n v="396"/>
    <x v="7"/>
    <x v="3"/>
    <s v="Vesi ja kanalisatsioon"/>
    <s v="2"/>
    <x v="1"/>
    <m/>
    <m/>
    <s v="67"/>
    <s v="Venevere Seltsimaja"/>
    <x v="81"/>
    <x v="2"/>
    <x v="80"/>
    <s v=""/>
    <s v=""/>
    <x v="4"/>
    <x v="19"/>
    <m/>
    <m/>
    <n v="396"/>
  </r>
  <r>
    <x v="5"/>
    <n v="1500"/>
    <x v="5"/>
    <x v="3"/>
    <s v="Küte ja soojusenergia"/>
    <s v="2"/>
    <x v="1"/>
    <m/>
    <m/>
    <s v="67"/>
    <s v="Venevere Seltsimaja"/>
    <x v="81"/>
    <x v="2"/>
    <x v="80"/>
    <s v=""/>
    <s v=""/>
    <x v="4"/>
    <x v="19"/>
    <m/>
    <m/>
    <n v="1500"/>
  </r>
  <r>
    <x v="76"/>
    <n v="172.8"/>
    <x v="8"/>
    <x v="3"/>
    <s v="Kinnistute, hoonete ja ruumide majandamiskulud"/>
    <s v="2"/>
    <x v="1"/>
    <m/>
    <m/>
    <s v="67"/>
    <s v="Venevere Seltsimaja"/>
    <x v="81"/>
    <x v="2"/>
    <x v="80"/>
    <s v=""/>
    <s v=""/>
    <x v="4"/>
    <x v="19"/>
    <m/>
    <m/>
    <n v="172.8"/>
  </r>
  <r>
    <x v="9"/>
    <n v="264"/>
    <x v="8"/>
    <x v="3"/>
    <s v="Kinnistute, hoonete ja ruumide majandamiskulud"/>
    <s v="2"/>
    <x v="1"/>
    <m/>
    <m/>
    <s v="67"/>
    <s v="Venevere Seltsimaja"/>
    <x v="81"/>
    <x v="2"/>
    <x v="80"/>
    <s v=""/>
    <s v=""/>
    <x v="4"/>
    <x v="19"/>
    <m/>
    <m/>
    <n v="264"/>
  </r>
  <r>
    <x v="196"/>
    <n v="780"/>
    <x v="9"/>
    <x v="3"/>
    <s v="Administreerimiskulud"/>
    <s v="2"/>
    <x v="1"/>
    <m/>
    <m/>
    <s v="57"/>
    <s v="Vinni Raamatukogu"/>
    <x v="5"/>
    <x v="2"/>
    <x v="5"/>
    <s v=""/>
    <s v=""/>
    <x v="4"/>
    <x v="5"/>
    <m/>
    <m/>
    <n v="780"/>
  </r>
  <r>
    <x v="61"/>
    <n v="384"/>
    <x v="14"/>
    <x v="3"/>
    <s v="Isikliku sõiduauto kompensatsioon"/>
    <s v="2"/>
    <x v="1"/>
    <m/>
    <m/>
    <s v="57"/>
    <s v="Vinni Raamatukogu"/>
    <x v="5"/>
    <x v="2"/>
    <x v="5"/>
    <s v=""/>
    <s v=""/>
    <x v="4"/>
    <x v="5"/>
    <m/>
    <m/>
    <n v="384"/>
  </r>
  <r>
    <x v="4"/>
    <n v="9677.6200000000008"/>
    <x v="4"/>
    <x v="2"/>
    <s v="Tööjõukuludega kaasnevad maksud ja sotsiaalkindlustusmaksed"/>
    <s v="2"/>
    <x v="1"/>
    <m/>
    <m/>
    <s v="57"/>
    <s v="Vinni Raamatukogu"/>
    <x v="5"/>
    <x v="2"/>
    <x v="5"/>
    <s v=""/>
    <s v=""/>
    <x v="3"/>
    <x v="5"/>
    <m/>
    <m/>
    <n v="9677.6200000000008"/>
  </r>
  <r>
    <x v="33"/>
    <n v="9480"/>
    <x v="3"/>
    <x v="2"/>
    <s v="Töötajate töötasud"/>
    <s v="2"/>
    <x v="1"/>
    <m/>
    <m/>
    <s v="57"/>
    <s v="Vinni Raamatukogu"/>
    <x v="5"/>
    <x v="2"/>
    <x v="5"/>
    <s v=""/>
    <s v=""/>
    <x v="3"/>
    <x v="5"/>
    <m/>
    <m/>
    <n v="9480"/>
  </r>
  <r>
    <x v="46"/>
    <n v="5256"/>
    <x v="3"/>
    <x v="2"/>
    <s v="Töötajate töötasud"/>
    <s v="2"/>
    <x v="1"/>
    <m/>
    <m/>
    <s v="57"/>
    <s v="Vinni Raamatukogu"/>
    <x v="5"/>
    <x v="2"/>
    <x v="5"/>
    <s v=""/>
    <s v=""/>
    <x v="3"/>
    <x v="5"/>
    <m/>
    <m/>
    <n v="5256"/>
  </r>
  <r>
    <x v="13"/>
    <n v="13896"/>
    <x v="3"/>
    <x v="2"/>
    <s v="Töötajate töötasud"/>
    <s v="2"/>
    <x v="1"/>
    <m/>
    <m/>
    <s v="57"/>
    <s v="Vinni Raamatukogu"/>
    <x v="5"/>
    <x v="2"/>
    <x v="5"/>
    <s v=""/>
    <s v=""/>
    <x v="3"/>
    <x v="5"/>
    <m/>
    <m/>
    <n v="13896"/>
  </r>
  <r>
    <x v="48"/>
    <n v="10320"/>
    <x v="5"/>
    <x v="3"/>
    <s v="Küte ja soojusenergia"/>
    <s v="2"/>
    <x v="1"/>
    <m/>
    <m/>
    <s v="57"/>
    <s v="Vinni Raamatukogu"/>
    <x v="5"/>
    <x v="2"/>
    <x v="5"/>
    <s v=""/>
    <s v=""/>
    <x v="4"/>
    <x v="5"/>
    <m/>
    <m/>
    <n v="10320"/>
  </r>
  <r>
    <x v="7"/>
    <n v="174"/>
    <x v="7"/>
    <x v="3"/>
    <s v="Vesi ja kanalisatsioon"/>
    <s v="2"/>
    <x v="1"/>
    <m/>
    <m/>
    <s v="57"/>
    <s v="Vinni Raamatukogu"/>
    <x v="5"/>
    <x v="2"/>
    <x v="5"/>
    <s v=""/>
    <s v=""/>
    <x v="4"/>
    <x v="5"/>
    <m/>
    <m/>
    <n v="174"/>
  </r>
  <r>
    <x v="337"/>
    <n v="221.64"/>
    <x v="8"/>
    <x v="3"/>
    <s v="Kinnistute, hoonete ja ruumide majandamiskulud"/>
    <s v="2"/>
    <x v="1"/>
    <m/>
    <m/>
    <s v="57"/>
    <s v="Vinni Raamatukogu"/>
    <x v="5"/>
    <x v="2"/>
    <x v="5"/>
    <s v=""/>
    <s v=""/>
    <x v="4"/>
    <x v="5"/>
    <m/>
    <m/>
    <n v="221.64"/>
  </r>
  <r>
    <x v="15"/>
    <n v="480.12"/>
    <x v="10"/>
    <x v="3"/>
    <s v="Info- ja kommunikatsioonitehnoloogia kulud"/>
    <s v="2"/>
    <x v="1"/>
    <m/>
    <m/>
    <s v="57"/>
    <s v="Vinni Raamatukogu"/>
    <x v="5"/>
    <x v="2"/>
    <x v="5"/>
    <s v=""/>
    <s v=""/>
    <x v="4"/>
    <x v="5"/>
    <m/>
    <m/>
    <n v="480.12"/>
  </r>
  <r>
    <x v="8"/>
    <n v="66"/>
    <x v="8"/>
    <x v="3"/>
    <s v="Kinnistute, hoonete ja ruumide majandamiskulud"/>
    <s v="2"/>
    <x v="1"/>
    <m/>
    <m/>
    <s v="57"/>
    <s v="Vinni Raamatukogu"/>
    <x v="5"/>
    <x v="2"/>
    <x v="5"/>
    <s v=""/>
    <s v=""/>
    <x v="4"/>
    <x v="5"/>
    <m/>
    <m/>
    <n v="66"/>
  </r>
  <r>
    <x v="9"/>
    <n v="92.4"/>
    <x v="8"/>
    <x v="3"/>
    <s v="Kinnistute, hoonete ja ruumide majandamiskulud"/>
    <s v="2"/>
    <x v="1"/>
    <m/>
    <m/>
    <s v="57"/>
    <s v="Vinni Raamatukogu"/>
    <x v="5"/>
    <x v="2"/>
    <x v="5"/>
    <s v=""/>
    <s v=""/>
    <x v="4"/>
    <x v="5"/>
    <m/>
    <m/>
    <n v="92.4"/>
  </r>
  <r>
    <x v="14"/>
    <n v="100"/>
    <x v="9"/>
    <x v="3"/>
    <s v="Administreerimiskulud"/>
    <s v="2"/>
    <x v="1"/>
    <m/>
    <m/>
    <s v="57"/>
    <s v="Vinni Raamatukogu"/>
    <x v="5"/>
    <x v="2"/>
    <x v="5"/>
    <s v=""/>
    <s v=""/>
    <x v="4"/>
    <x v="5"/>
    <m/>
    <m/>
    <n v="100"/>
  </r>
  <r>
    <x v="6"/>
    <n v="2400"/>
    <x v="6"/>
    <x v="3"/>
    <s v="Elekter"/>
    <s v="2"/>
    <x v="1"/>
    <m/>
    <m/>
    <s v="57"/>
    <s v="Vinni Raamatukogu"/>
    <x v="5"/>
    <x v="2"/>
    <x v="5"/>
    <s v=""/>
    <s v=""/>
    <x v="4"/>
    <x v="5"/>
    <m/>
    <m/>
    <n v="2400"/>
  </r>
  <r>
    <x v="150"/>
    <n v="288"/>
    <x v="8"/>
    <x v="3"/>
    <s v="Kinnistute, hoonete ja ruumide majandamiskulud"/>
    <s v="2"/>
    <x v="1"/>
    <m/>
    <m/>
    <s v="57"/>
    <s v="Vinni Raamatukogu"/>
    <x v="5"/>
    <x v="2"/>
    <x v="5"/>
    <s v=""/>
    <s v=""/>
    <x v="4"/>
    <x v="5"/>
    <m/>
    <m/>
    <n v="288"/>
  </r>
  <r>
    <x v="51"/>
    <n v="170.52"/>
    <x v="8"/>
    <x v="3"/>
    <s v="Kinnistute, hoonete ja ruumide majandamiskulud"/>
    <s v="2"/>
    <x v="1"/>
    <m/>
    <m/>
    <s v="57"/>
    <s v="Vinni Raamatukogu"/>
    <x v="5"/>
    <x v="2"/>
    <x v="5"/>
    <s v=""/>
    <s v=""/>
    <x v="4"/>
    <x v="5"/>
    <m/>
    <m/>
    <n v="170.52"/>
  </r>
  <r>
    <x v="338"/>
    <n v="26400"/>
    <x v="21"/>
    <x v="2"/>
    <s v=" Avaliku teenistuse ametnike töötasu"/>
    <s v="2"/>
    <x v="1"/>
    <m/>
    <m/>
    <s v="2"/>
    <s v="Valla- ja linnavalitsus"/>
    <x v="17"/>
    <x v="5"/>
    <x v="17"/>
    <s v=""/>
    <s v=""/>
    <x v="3"/>
    <x v="12"/>
    <m/>
    <m/>
    <n v="26400"/>
  </r>
  <r>
    <x v="339"/>
    <n v="28800"/>
    <x v="21"/>
    <x v="2"/>
    <s v=" Avaliku teenistuse ametnike töötasu"/>
    <s v="2"/>
    <x v="1"/>
    <m/>
    <m/>
    <s v="2"/>
    <s v="Valla- ja linnavalitsus"/>
    <x v="17"/>
    <x v="5"/>
    <x v="17"/>
    <s v=""/>
    <s v=""/>
    <x v="3"/>
    <x v="12"/>
    <m/>
    <m/>
    <n v="28800"/>
  </r>
  <r>
    <x v="340"/>
    <n v="23400"/>
    <x v="21"/>
    <x v="2"/>
    <s v=" Avaliku teenistuse ametnike töötasu"/>
    <s v="2"/>
    <x v="1"/>
    <m/>
    <m/>
    <s v="2"/>
    <s v="Valla- ja linnavalitsus"/>
    <x v="17"/>
    <x v="5"/>
    <x v="17"/>
    <s v=""/>
    <s v=""/>
    <x v="3"/>
    <x v="12"/>
    <m/>
    <m/>
    <n v="23400"/>
  </r>
  <r>
    <x v="341"/>
    <n v="23400"/>
    <x v="3"/>
    <x v="2"/>
    <s v="Töötajate töötasud"/>
    <s v="2"/>
    <x v="1"/>
    <m/>
    <m/>
    <s v="23"/>
    <s v="Finantsteenistus"/>
    <x v="17"/>
    <x v="5"/>
    <x v="17"/>
    <s v=""/>
    <s v=""/>
    <x v="3"/>
    <x v="12"/>
    <m/>
    <m/>
    <n v="23400"/>
  </r>
  <r>
    <x v="342"/>
    <n v="37440"/>
    <x v="3"/>
    <x v="2"/>
    <s v="Töötajate töötasud"/>
    <s v="2"/>
    <x v="1"/>
    <m/>
    <m/>
    <s v="23"/>
    <s v="Finantsteenistus"/>
    <x v="17"/>
    <x v="5"/>
    <x v="17"/>
    <s v=""/>
    <s v=""/>
    <x v="3"/>
    <x v="12"/>
    <m/>
    <m/>
    <n v="37440"/>
  </r>
  <r>
    <x v="343"/>
    <n v="17400"/>
    <x v="3"/>
    <x v="2"/>
    <s v="Töötajate töötasud"/>
    <s v="2"/>
    <x v="1"/>
    <m/>
    <m/>
    <s v="2"/>
    <s v="Valla- ja linnavalitsus"/>
    <x v="17"/>
    <x v="5"/>
    <x v="17"/>
    <s v=""/>
    <s v=""/>
    <x v="3"/>
    <x v="12"/>
    <m/>
    <m/>
    <n v="17400"/>
  </r>
  <r>
    <x v="344"/>
    <n v="2500"/>
    <x v="9"/>
    <x v="3"/>
    <s v="Administreerimiskulud"/>
    <s v="2"/>
    <x v="1"/>
    <m/>
    <m/>
    <s v="23"/>
    <s v="Finantsteenistus"/>
    <x v="17"/>
    <x v="5"/>
    <x v="17"/>
    <s v=""/>
    <s v=""/>
    <x v="4"/>
    <x v="12"/>
    <m/>
    <m/>
    <n v="2500"/>
  </r>
  <r>
    <x v="345"/>
    <n v="7000"/>
    <x v="9"/>
    <x v="3"/>
    <s v="Administreerimiskulud"/>
    <s v="2"/>
    <x v="1"/>
    <m/>
    <m/>
    <s v="2"/>
    <s v="Valla- ja linnavalitsus"/>
    <x v="17"/>
    <x v="5"/>
    <x v="17"/>
    <s v=""/>
    <s v=""/>
    <x v="4"/>
    <x v="12"/>
    <m/>
    <m/>
    <n v="7000"/>
  </r>
  <r>
    <x v="346"/>
    <n v="75"/>
    <x v="9"/>
    <x v="3"/>
    <s v="Administreerimiskulud"/>
    <s v="2"/>
    <x v="1"/>
    <m/>
    <m/>
    <s v="2"/>
    <s v="Valla- ja linnavalitsus"/>
    <x v="17"/>
    <x v="5"/>
    <x v="17"/>
    <s v=""/>
    <s v=""/>
    <x v="4"/>
    <x v="12"/>
    <m/>
    <m/>
    <n v="75"/>
  </r>
  <r>
    <x v="347"/>
    <n v="500"/>
    <x v="9"/>
    <x v="3"/>
    <s v="Administreerimiskulud"/>
    <s v="2"/>
    <x v="1"/>
    <m/>
    <m/>
    <s v="2"/>
    <s v="Valla- ja linnavalitsus"/>
    <x v="17"/>
    <x v="5"/>
    <x v="17"/>
    <s v=""/>
    <s v=""/>
    <x v="4"/>
    <x v="12"/>
    <m/>
    <m/>
    <n v="500"/>
  </r>
  <r>
    <x v="348"/>
    <n v="12000"/>
    <x v="9"/>
    <x v="3"/>
    <s v="Administreerimiskulud"/>
    <s v="2"/>
    <x v="1"/>
    <m/>
    <m/>
    <s v="2"/>
    <s v="Valla- ja linnavalitsus"/>
    <x v="17"/>
    <x v="5"/>
    <x v="17"/>
    <s v=""/>
    <s v=""/>
    <x v="4"/>
    <x v="12"/>
    <m/>
    <m/>
    <n v="12000"/>
  </r>
  <r>
    <x v="349"/>
    <n v="720"/>
    <x v="9"/>
    <x v="3"/>
    <s v="Administreerimiskulud"/>
    <s v="2"/>
    <x v="1"/>
    <m/>
    <m/>
    <s v="2"/>
    <s v="Valla- ja linnavalitsus"/>
    <x v="17"/>
    <x v="5"/>
    <x v="17"/>
    <s v=""/>
    <s v=""/>
    <x v="4"/>
    <x v="12"/>
    <m/>
    <m/>
    <n v="720"/>
  </r>
  <r>
    <x v="350"/>
    <n v="1920"/>
    <x v="9"/>
    <x v="3"/>
    <s v="Administreerimiskulud"/>
    <s v="2"/>
    <x v="1"/>
    <m/>
    <m/>
    <s v="2"/>
    <s v="Valla- ja linnavalitsus"/>
    <x v="17"/>
    <x v="5"/>
    <x v="17"/>
    <s v=""/>
    <s v=""/>
    <x v="4"/>
    <x v="12"/>
    <m/>
    <m/>
    <n v="1920"/>
  </r>
  <r>
    <x v="351"/>
    <n v="1200"/>
    <x v="9"/>
    <x v="3"/>
    <s v="Administreerimiskulud"/>
    <s v="2"/>
    <x v="1"/>
    <m/>
    <m/>
    <s v="2"/>
    <s v="Valla- ja linnavalitsus"/>
    <x v="17"/>
    <x v="5"/>
    <x v="17"/>
    <s v=""/>
    <s v=""/>
    <x v="4"/>
    <x v="12"/>
    <m/>
    <m/>
    <n v="1200"/>
  </r>
  <r>
    <x v="352"/>
    <n v="840"/>
    <x v="9"/>
    <x v="3"/>
    <s v="Administreerimiskulud"/>
    <s v="2"/>
    <x v="1"/>
    <m/>
    <m/>
    <s v="2"/>
    <s v="Valla- ja linnavalitsus"/>
    <x v="17"/>
    <x v="5"/>
    <x v="17"/>
    <m/>
    <m/>
    <x v="4"/>
    <x v="12"/>
    <m/>
    <m/>
    <n v="840"/>
  </r>
  <r>
    <x v="353"/>
    <n v="39.6"/>
    <x v="9"/>
    <x v="3"/>
    <s v="Administreerimiskulud"/>
    <s v="2"/>
    <x v="1"/>
    <m/>
    <m/>
    <s v="2"/>
    <s v="Valla- ja linnavalitsus"/>
    <x v="17"/>
    <x v="5"/>
    <x v="17"/>
    <m/>
    <m/>
    <x v="4"/>
    <x v="12"/>
    <m/>
    <m/>
    <n v="39.6"/>
  </r>
  <r>
    <x v="354"/>
    <n v="165.6"/>
    <x v="9"/>
    <x v="3"/>
    <s v="Administreerimiskulud"/>
    <s v="2"/>
    <x v="1"/>
    <m/>
    <m/>
    <s v="2"/>
    <s v="Valla- ja linnavalitsus"/>
    <x v="17"/>
    <x v="5"/>
    <x v="17"/>
    <m/>
    <m/>
    <x v="4"/>
    <x v="12"/>
    <m/>
    <m/>
    <n v="165.6"/>
  </r>
  <r>
    <x v="355"/>
    <n v="2400"/>
    <x v="9"/>
    <x v="3"/>
    <s v="Administreerimiskulud"/>
    <s v="2"/>
    <x v="1"/>
    <m/>
    <m/>
    <s v="2"/>
    <s v="Valla- ja linnavalitsus"/>
    <x v="17"/>
    <x v="5"/>
    <x v="17"/>
    <m/>
    <m/>
    <x v="4"/>
    <x v="12"/>
    <m/>
    <m/>
    <n v="2400"/>
  </r>
  <r>
    <x v="356"/>
    <n v="7600"/>
    <x v="9"/>
    <x v="3"/>
    <s v="Administreerimiskulud"/>
    <s v="2"/>
    <x v="1"/>
    <m/>
    <m/>
    <s v="2"/>
    <s v="Valla- ja linnavalitsus"/>
    <x v="17"/>
    <x v="5"/>
    <x v="17"/>
    <s v=""/>
    <s v=""/>
    <x v="4"/>
    <x v="12"/>
    <m/>
    <m/>
    <n v="7600"/>
  </r>
  <r>
    <x v="357"/>
    <n v="4300"/>
    <x v="9"/>
    <x v="3"/>
    <s v="Administreerimiskulud"/>
    <s v="2"/>
    <x v="1"/>
    <m/>
    <m/>
    <s v="2"/>
    <s v="Valla- ja linnavalitsus"/>
    <x v="17"/>
    <x v="5"/>
    <x v="17"/>
    <s v=""/>
    <s v=""/>
    <x v="4"/>
    <x v="12"/>
    <m/>
    <m/>
    <n v="4300"/>
  </r>
  <r>
    <x v="358"/>
    <n v="8000"/>
    <x v="9"/>
    <x v="3"/>
    <s v="Administreerimiskulud"/>
    <s v="2"/>
    <x v="1"/>
    <m/>
    <m/>
    <s v="2"/>
    <s v="Valla- ja linnavalitsus"/>
    <x v="17"/>
    <x v="5"/>
    <x v="17"/>
    <s v=""/>
    <s v=""/>
    <x v="4"/>
    <x v="12"/>
    <m/>
    <m/>
    <n v="8000"/>
  </r>
  <r>
    <x v="359"/>
    <n v="27000"/>
    <x v="39"/>
    <x v="3"/>
    <s v="Uurimis- ja arendustööd"/>
    <s v="2"/>
    <x v="1"/>
    <m/>
    <m/>
    <s v="2"/>
    <s v="Valla- ja linnavalitsus"/>
    <x v="17"/>
    <x v="5"/>
    <x v="17"/>
    <s v=""/>
    <s v=""/>
    <x v="4"/>
    <x v="12"/>
    <m/>
    <m/>
    <n v="27000"/>
  </r>
  <r>
    <x v="360"/>
    <n v="1500"/>
    <x v="40"/>
    <x v="3"/>
    <s v="Lähetuskulud (v.a koolituslähetus)"/>
    <s v="2"/>
    <x v="1"/>
    <m/>
    <m/>
    <s v="2"/>
    <s v="Valla- ja linnavalitsus"/>
    <x v="17"/>
    <x v="5"/>
    <x v="17"/>
    <s v=""/>
    <s v=""/>
    <x v="4"/>
    <x v="12"/>
    <m/>
    <m/>
    <n v="1500"/>
  </r>
  <r>
    <x v="361"/>
    <n v="1600"/>
    <x v="31"/>
    <x v="3"/>
    <s v="Koolituskulud (sh koolituslähetus)"/>
    <s v="2"/>
    <x v="1"/>
    <m/>
    <m/>
    <s v="23"/>
    <s v="Finantsteenistus"/>
    <x v="17"/>
    <x v="5"/>
    <x v="17"/>
    <s v=""/>
    <s v=""/>
    <x v="4"/>
    <x v="12"/>
    <m/>
    <m/>
    <n v="1600"/>
  </r>
  <r>
    <x v="362"/>
    <n v="12000"/>
    <x v="31"/>
    <x v="3"/>
    <s v="Koolituskulud (sh koolituslähetus)"/>
    <s v="2"/>
    <x v="1"/>
    <m/>
    <m/>
    <s v="2"/>
    <s v="Valla- ja linnavalitsus"/>
    <x v="17"/>
    <x v="5"/>
    <x v="17"/>
    <s v=""/>
    <s v=""/>
    <x v="4"/>
    <x v="12"/>
    <m/>
    <m/>
    <n v="12000"/>
  </r>
  <r>
    <x v="363"/>
    <n v="2400"/>
    <x v="31"/>
    <x v="3"/>
    <s v="Koolituskulud (sh koolituslähetus)"/>
    <s v="2"/>
    <x v="1"/>
    <m/>
    <m/>
    <s v="2"/>
    <s v="Valla- ja linnavalitsus"/>
    <x v="17"/>
    <x v="5"/>
    <x v="17"/>
    <s v=""/>
    <s v=""/>
    <x v="4"/>
    <x v="12"/>
    <m/>
    <m/>
    <n v="2400"/>
  </r>
  <r>
    <x v="9"/>
    <n v="250"/>
    <x v="8"/>
    <x v="3"/>
    <s v="Kinnistute, hoonete ja ruumide majandamiskulud"/>
    <s v="2"/>
    <x v="1"/>
    <m/>
    <m/>
    <s v="2"/>
    <s v="Valla- ja linnavalitsus"/>
    <x v="17"/>
    <x v="5"/>
    <x v="17"/>
    <s v=""/>
    <s v=""/>
    <x v="4"/>
    <x v="12"/>
    <m/>
    <m/>
    <n v="250"/>
  </r>
  <r>
    <x v="364"/>
    <n v="2640"/>
    <x v="8"/>
    <x v="3"/>
    <s v="Kinnistute, hoonete ja ruumide majandamiskulud"/>
    <s v="2"/>
    <x v="1"/>
    <m/>
    <m/>
    <s v="2"/>
    <s v="Valla- ja linnavalitsus"/>
    <x v="17"/>
    <x v="5"/>
    <x v="17"/>
    <s v=""/>
    <s v=""/>
    <x v="4"/>
    <x v="12"/>
    <m/>
    <m/>
    <n v="2640"/>
  </r>
  <r>
    <x v="365"/>
    <n v="650"/>
    <x v="8"/>
    <x v="3"/>
    <s v="Kinnistute, hoonete ja ruumide majandamiskulud"/>
    <s v="2"/>
    <x v="1"/>
    <m/>
    <m/>
    <s v="2"/>
    <s v="Valla- ja linnavalitsus"/>
    <x v="17"/>
    <x v="5"/>
    <x v="17"/>
    <s v=""/>
    <s v=""/>
    <x v="4"/>
    <x v="12"/>
    <m/>
    <m/>
    <n v="650"/>
  </r>
  <r>
    <x v="366"/>
    <n v="550"/>
    <x v="8"/>
    <x v="3"/>
    <s v="Kinnistute, hoonete ja ruumide majandamiskulud"/>
    <s v="2"/>
    <x v="1"/>
    <m/>
    <m/>
    <s v="2"/>
    <s v="Valla- ja linnavalitsus"/>
    <x v="17"/>
    <x v="5"/>
    <x v="17"/>
    <s v=""/>
    <s v=""/>
    <x v="4"/>
    <x v="12"/>
    <m/>
    <m/>
    <n v="550"/>
  </r>
  <r>
    <x v="367"/>
    <n v="300"/>
    <x v="8"/>
    <x v="3"/>
    <s v="Kinnistute, hoonete ja ruumide majandamiskulud"/>
    <s v="2"/>
    <x v="1"/>
    <m/>
    <m/>
    <s v="2"/>
    <s v="Valla- ja linnavalitsus"/>
    <x v="17"/>
    <x v="5"/>
    <x v="17"/>
    <s v=""/>
    <s v=""/>
    <x v="4"/>
    <x v="12"/>
    <m/>
    <m/>
    <n v="300"/>
  </r>
  <r>
    <x v="368"/>
    <n v="10800"/>
    <x v="8"/>
    <x v="3"/>
    <s v="Kinnistute, hoonete ja ruumide majandamiskulud"/>
    <s v="2"/>
    <x v="1"/>
    <m/>
    <m/>
    <s v="2"/>
    <s v="Valla- ja linnavalitsus"/>
    <x v="17"/>
    <x v="5"/>
    <x v="17"/>
    <s v=""/>
    <s v=""/>
    <x v="4"/>
    <x v="12"/>
    <m/>
    <m/>
    <n v="10800"/>
  </r>
  <r>
    <x v="369"/>
    <n v="221.64"/>
    <x v="8"/>
    <x v="3"/>
    <s v="Kinnistute, hoonete ja ruumide majandamiskulud"/>
    <s v="2"/>
    <x v="1"/>
    <m/>
    <m/>
    <s v="2"/>
    <s v="Valla- ja linnavalitsus"/>
    <x v="17"/>
    <x v="5"/>
    <x v="17"/>
    <s v=""/>
    <s v=""/>
    <x v="4"/>
    <x v="12"/>
    <m/>
    <m/>
    <n v="221.64"/>
  </r>
  <r>
    <x v="370"/>
    <n v="480"/>
    <x v="30"/>
    <x v="3"/>
    <s v="Sõidukite ülalpidamise kulud"/>
    <s v="2"/>
    <x v="1"/>
    <m/>
    <m/>
    <s v="2"/>
    <s v="Valla- ja linnavalitsus"/>
    <x v="17"/>
    <x v="5"/>
    <x v="17"/>
    <s v=""/>
    <s v=""/>
    <x v="4"/>
    <x v="12"/>
    <m/>
    <m/>
    <n v="480"/>
  </r>
  <r>
    <x v="371"/>
    <n v="3400"/>
    <x v="30"/>
    <x v="3"/>
    <s v="Sõidukite ülalpidamise kulud"/>
    <s v="2"/>
    <x v="1"/>
    <m/>
    <m/>
    <s v="2"/>
    <s v="Valla- ja linnavalitsus"/>
    <x v="17"/>
    <x v="5"/>
    <x v="17"/>
    <s v=""/>
    <s v=""/>
    <x v="4"/>
    <x v="12"/>
    <m/>
    <m/>
    <n v="3400"/>
  </r>
  <r>
    <x v="372"/>
    <n v="2880"/>
    <x v="10"/>
    <x v="3"/>
    <s v="Info- ja kommunikatsioonitehnoloogia kulud"/>
    <s v="2"/>
    <x v="1"/>
    <m/>
    <m/>
    <s v="23"/>
    <s v="Finantsteenistus"/>
    <x v="17"/>
    <x v="5"/>
    <x v="17"/>
    <s v=""/>
    <s v=""/>
    <x v="4"/>
    <x v="12"/>
    <m/>
    <m/>
    <n v="2880"/>
  </r>
  <r>
    <x v="373"/>
    <n v="6451.2"/>
    <x v="10"/>
    <x v="3"/>
    <s v="Info- ja kommunikatsioonitehnoloogia kulud"/>
    <s v="2"/>
    <x v="1"/>
    <m/>
    <m/>
    <s v="23"/>
    <s v="Finantsteenistus"/>
    <x v="17"/>
    <x v="5"/>
    <x v="17"/>
    <s v=""/>
    <s v=""/>
    <x v="4"/>
    <x v="12"/>
    <m/>
    <m/>
    <n v="6451.2"/>
  </r>
  <r>
    <x v="374"/>
    <n v="2300"/>
    <x v="9"/>
    <x v="3"/>
    <s v="Administreerimiskulud"/>
    <s v="2"/>
    <x v="1"/>
    <m/>
    <m/>
    <s v="2"/>
    <s v="Valla- ja linnavalitsus"/>
    <x v="17"/>
    <x v="5"/>
    <x v="17"/>
    <s v=""/>
    <s v=""/>
    <x v="4"/>
    <x v="12"/>
    <m/>
    <m/>
    <n v="2300"/>
  </r>
  <r>
    <x v="375"/>
    <n v="800"/>
    <x v="10"/>
    <x v="3"/>
    <s v="Info- ja kommunikatsioonitehnoloogia kulud"/>
    <s v="2"/>
    <x v="1"/>
    <m/>
    <m/>
    <s v="2"/>
    <s v="Valla- ja linnavalitsus"/>
    <x v="17"/>
    <x v="5"/>
    <x v="17"/>
    <m/>
    <m/>
    <x v="4"/>
    <x v="12"/>
    <m/>
    <m/>
    <n v="800"/>
  </r>
  <r>
    <x v="376"/>
    <n v="6960"/>
    <x v="10"/>
    <x v="3"/>
    <s v="Info- ja kommunikatsioonitehnoloogia kulud"/>
    <s v="2"/>
    <x v="1"/>
    <m/>
    <m/>
    <s v="2"/>
    <s v="Valla- ja linnavalitsus"/>
    <x v="17"/>
    <x v="5"/>
    <x v="17"/>
    <s v=""/>
    <s v=""/>
    <x v="4"/>
    <x v="12"/>
    <m/>
    <m/>
    <n v="6960"/>
  </r>
  <r>
    <x v="377"/>
    <n v="3700"/>
    <x v="10"/>
    <x v="3"/>
    <s v="Info- ja kommunikatsioonitehnoloogia kulud"/>
    <s v="2"/>
    <x v="1"/>
    <m/>
    <m/>
    <s v="2"/>
    <s v="Valla- ja linnavalitsus"/>
    <x v="17"/>
    <x v="5"/>
    <x v="17"/>
    <s v=""/>
    <s v=""/>
    <x v="4"/>
    <x v="12"/>
    <m/>
    <m/>
    <n v="3700"/>
  </r>
  <r>
    <x v="378"/>
    <n v="720"/>
    <x v="29"/>
    <x v="3"/>
    <s v="Inventari majandamiskulud"/>
    <s v="2"/>
    <x v="1"/>
    <m/>
    <m/>
    <s v="2"/>
    <s v="Valla- ja linnavalitsus"/>
    <x v="17"/>
    <x v="5"/>
    <x v="17"/>
    <s v=""/>
    <s v=""/>
    <x v="4"/>
    <x v="12"/>
    <m/>
    <m/>
    <n v="720"/>
  </r>
  <r>
    <x v="379"/>
    <n v="300"/>
    <x v="41"/>
    <x v="3"/>
    <s v="Meditsiinikulud ja hügieenikulud"/>
    <s v="2"/>
    <x v="1"/>
    <m/>
    <m/>
    <s v="2"/>
    <s v="Valla- ja linnavalitsus"/>
    <x v="17"/>
    <x v="5"/>
    <x v="17"/>
    <s v=""/>
    <s v=""/>
    <x v="4"/>
    <x v="12"/>
    <m/>
    <m/>
    <n v="300"/>
  </r>
  <r>
    <x v="380"/>
    <n v="500"/>
    <x v="41"/>
    <x v="3"/>
    <s v="Meditsiinikulud ja hügieenikulud"/>
    <s v="2"/>
    <x v="1"/>
    <m/>
    <m/>
    <s v="2"/>
    <s v="Valla- ja linnavalitsus"/>
    <x v="17"/>
    <x v="5"/>
    <x v="17"/>
    <s v=""/>
    <s v=""/>
    <x v="4"/>
    <x v="12"/>
    <m/>
    <m/>
    <n v="500"/>
  </r>
  <r>
    <x v="381"/>
    <n v="440"/>
    <x v="41"/>
    <x v="3"/>
    <s v="Meditsiinikulud ja hügieenikulud"/>
    <s v="2"/>
    <x v="1"/>
    <m/>
    <m/>
    <s v="2"/>
    <s v="Valla- ja linnavalitsus"/>
    <x v="17"/>
    <x v="5"/>
    <x v="17"/>
    <s v=""/>
    <s v=""/>
    <x v="4"/>
    <x v="12"/>
    <m/>
    <m/>
    <n v="440"/>
  </r>
  <r>
    <x v="382"/>
    <n v="1100"/>
    <x v="41"/>
    <x v="3"/>
    <s v="Meditsiinikulud ja hügieenikulud"/>
    <s v="2"/>
    <x v="1"/>
    <m/>
    <m/>
    <s v="2"/>
    <s v="Valla- ja linnavalitsus"/>
    <x v="17"/>
    <x v="5"/>
    <x v="17"/>
    <s v=""/>
    <s v=""/>
    <x v="4"/>
    <x v="12"/>
    <m/>
    <m/>
    <n v="1100"/>
  </r>
  <r>
    <x v="383"/>
    <n v="6000"/>
    <x v="25"/>
    <x v="3"/>
    <s v="Kommunikatsiooni-, kultuuri- ja vaba aja sisustamise kulud"/>
    <s v="2"/>
    <x v="1"/>
    <m/>
    <m/>
    <s v="2"/>
    <s v="Valla- ja linnavalitsus"/>
    <x v="17"/>
    <x v="5"/>
    <x v="17"/>
    <s v=""/>
    <s v=""/>
    <x v="4"/>
    <x v="12"/>
    <m/>
    <m/>
    <n v="6000"/>
  </r>
  <r>
    <x v="202"/>
    <n v="14400"/>
    <x v="28"/>
    <x v="3"/>
    <s v="Mitmesugused majanduskulud"/>
    <s v="2"/>
    <x v="1"/>
    <m/>
    <m/>
    <s v="2"/>
    <s v="Valla- ja linnavalitsus"/>
    <x v="17"/>
    <x v="5"/>
    <x v="17"/>
    <s v=""/>
    <s v=""/>
    <x v="4"/>
    <x v="12"/>
    <m/>
    <m/>
    <n v="14400"/>
  </r>
  <r>
    <x v="384"/>
    <n v="40000"/>
    <x v="28"/>
    <x v="3"/>
    <s v="Mitmesugused majanduskulud"/>
    <s v="2"/>
    <x v="1"/>
    <m/>
    <m/>
    <s v="2"/>
    <s v="Valla- ja linnavalitsus"/>
    <x v="17"/>
    <x v="5"/>
    <x v="17"/>
    <s v=""/>
    <s v=""/>
    <x v="4"/>
    <x v="12"/>
    <m/>
    <m/>
    <n v="40000"/>
  </r>
  <r>
    <x v="48"/>
    <n v="19170"/>
    <x v="5"/>
    <x v="3"/>
    <s v="Küte ja soojusenergia"/>
    <s v="2"/>
    <x v="1"/>
    <m/>
    <m/>
    <s v="2"/>
    <s v="Valla- ja linnavalitsus"/>
    <x v="17"/>
    <x v="5"/>
    <x v="17"/>
    <s v=""/>
    <s v=""/>
    <x v="4"/>
    <x v="12"/>
    <m/>
    <m/>
    <n v="19170"/>
  </r>
  <r>
    <x v="6"/>
    <n v="6500"/>
    <x v="6"/>
    <x v="3"/>
    <s v="Elekter"/>
    <s v="2"/>
    <x v="1"/>
    <m/>
    <m/>
    <s v="2"/>
    <s v="Valla- ja linnavalitsus"/>
    <x v="17"/>
    <x v="5"/>
    <x v="17"/>
    <s v=""/>
    <s v=""/>
    <x v="4"/>
    <x v="12"/>
    <m/>
    <m/>
    <n v="6500"/>
  </r>
  <r>
    <x v="190"/>
    <n v="1500"/>
    <x v="7"/>
    <x v="3"/>
    <s v="Vesi ja kanalisatsioon"/>
    <s v="2"/>
    <x v="1"/>
    <m/>
    <m/>
    <s v="2"/>
    <s v="Valla- ja linnavalitsus"/>
    <x v="17"/>
    <x v="5"/>
    <x v="17"/>
    <s v=""/>
    <s v=""/>
    <x v="4"/>
    <x v="12"/>
    <m/>
    <m/>
    <n v="1500"/>
  </r>
  <r>
    <x v="168"/>
    <n v="900"/>
    <x v="7"/>
    <x v="3"/>
    <s v="Vesi ja kanalisatsioon"/>
    <s v="2"/>
    <x v="1"/>
    <m/>
    <m/>
    <s v="2"/>
    <s v="Valla- ja linnavalitsus"/>
    <x v="17"/>
    <x v="5"/>
    <x v="17"/>
    <s v=""/>
    <s v=""/>
    <x v="4"/>
    <x v="12"/>
    <m/>
    <m/>
    <n v="900"/>
  </r>
  <r>
    <x v="385"/>
    <n v="6500"/>
    <x v="42"/>
    <x v="3"/>
    <s v="Kindlustusmaksed"/>
    <s v="2"/>
    <x v="1"/>
    <m/>
    <m/>
    <s v="2"/>
    <s v="Valla- ja linnavalitsus"/>
    <x v="17"/>
    <x v="5"/>
    <x v="17"/>
    <s v=""/>
    <s v=""/>
    <x v="4"/>
    <x v="12"/>
    <m/>
    <m/>
    <n v="6500"/>
  </r>
  <r>
    <x v="233"/>
    <n v="9000"/>
    <x v="11"/>
    <x v="3"/>
    <s v="Kütus"/>
    <s v="2"/>
    <x v="1"/>
    <m/>
    <m/>
    <s v="2"/>
    <s v="Valla- ja linnavalitsus"/>
    <x v="17"/>
    <x v="5"/>
    <x v="17"/>
    <s v=""/>
    <s v=""/>
    <x v="4"/>
    <x v="12"/>
    <m/>
    <m/>
    <n v="9000"/>
  </r>
  <r>
    <x v="386"/>
    <n v="5227.2"/>
    <x v="13"/>
    <x v="3"/>
    <s v="Sõidukite kasutusrent"/>
    <s v="2"/>
    <x v="1"/>
    <m/>
    <m/>
    <s v="2"/>
    <s v="Valla- ja linnavalitsus"/>
    <x v="17"/>
    <x v="5"/>
    <x v="17"/>
    <s v=""/>
    <s v=""/>
    <x v="4"/>
    <x v="12"/>
    <m/>
    <m/>
    <n v="5227.2"/>
  </r>
  <r>
    <x v="387"/>
    <n v="600"/>
    <x v="14"/>
    <x v="3"/>
    <s v="Isikliku sõiduauto kompensatsioon"/>
    <s v="2"/>
    <x v="1"/>
    <m/>
    <m/>
    <s v="23"/>
    <s v="Finantsteenistus"/>
    <x v="17"/>
    <x v="5"/>
    <x v="17"/>
    <s v=""/>
    <s v=""/>
    <x v="4"/>
    <x v="12"/>
    <m/>
    <m/>
    <n v="600"/>
  </r>
  <r>
    <x v="61"/>
    <n v="1800"/>
    <x v="14"/>
    <x v="3"/>
    <s v="Isikliku sõiduauto kompensatsioon"/>
    <s v="2"/>
    <x v="1"/>
    <m/>
    <m/>
    <s v="23"/>
    <s v="Finantsteenistus"/>
    <x v="17"/>
    <x v="5"/>
    <x v="17"/>
    <s v=""/>
    <s v=""/>
    <x v="4"/>
    <x v="12"/>
    <m/>
    <m/>
    <n v="1800"/>
  </r>
  <r>
    <x v="61"/>
    <n v="2400"/>
    <x v="14"/>
    <x v="3"/>
    <s v="Isikliku sõiduauto kompensatsioon"/>
    <s v="2"/>
    <x v="1"/>
    <m/>
    <m/>
    <s v="23"/>
    <s v="Finantsteenistus"/>
    <x v="17"/>
    <x v="5"/>
    <x v="17"/>
    <s v=""/>
    <s v=""/>
    <x v="4"/>
    <x v="12"/>
    <m/>
    <m/>
    <n v="2400"/>
  </r>
  <r>
    <x v="388"/>
    <n v="768"/>
    <x v="14"/>
    <x v="3"/>
    <s v="Isikliku sõiduauto kompensatsioon"/>
    <s v="2"/>
    <x v="1"/>
    <m/>
    <m/>
    <s v="2"/>
    <s v="Valla- ja linnavalitsus"/>
    <x v="17"/>
    <x v="5"/>
    <x v="17"/>
    <s v=""/>
    <s v=""/>
    <x v="4"/>
    <x v="12"/>
    <m/>
    <m/>
    <n v="768"/>
  </r>
  <r>
    <x v="389"/>
    <n v="100"/>
    <x v="14"/>
    <x v="3"/>
    <s v="Isikliku sõiduauto kompensatsioon"/>
    <s v="2"/>
    <x v="1"/>
    <m/>
    <m/>
    <s v="2"/>
    <s v="Valla- ja linnavalitsus"/>
    <x v="17"/>
    <x v="5"/>
    <x v="17"/>
    <s v=""/>
    <s v=""/>
    <x v="4"/>
    <x v="12"/>
    <m/>
    <m/>
    <n v="100"/>
  </r>
  <r>
    <x v="390"/>
    <n v="1800"/>
    <x v="14"/>
    <x v="3"/>
    <s v="Isikliku sõiduauto kompensatsioon"/>
    <s v="2"/>
    <x v="1"/>
    <m/>
    <m/>
    <s v="2"/>
    <s v="Valla- ja linnavalitsus"/>
    <x v="17"/>
    <x v="5"/>
    <x v="17"/>
    <s v=""/>
    <s v=""/>
    <x v="4"/>
    <x v="12"/>
    <m/>
    <m/>
    <n v="1800"/>
  </r>
  <r>
    <x v="391"/>
    <n v="80000"/>
    <x v="1"/>
    <x v="0"/>
    <s v="Hooned ja rajatised"/>
    <s v="4"/>
    <x v="0"/>
    <m/>
    <m/>
    <s v="215"/>
    <s v="Ehitusnõunik"/>
    <x v="34"/>
    <x v="1"/>
    <x v="34"/>
    <s v=""/>
    <s v=""/>
    <x v="1"/>
    <x v="6"/>
    <m/>
    <m/>
    <n v="80000"/>
  </r>
  <r>
    <x v="336"/>
    <n v="1632"/>
    <x v="3"/>
    <x v="2"/>
    <s v="Töötajate töötasud"/>
    <s v="2"/>
    <x v="1"/>
    <m/>
    <m/>
    <s v="31"/>
    <s v="Vinni Lasteaed"/>
    <x v="8"/>
    <x v="1"/>
    <x v="8"/>
    <m/>
    <m/>
    <x v="3"/>
    <x v="1"/>
    <m/>
    <m/>
    <n v="1632"/>
  </r>
  <r>
    <x v="17"/>
    <n v="8208"/>
    <x v="3"/>
    <x v="2"/>
    <s v="Töötajate töötasud"/>
    <s v="2"/>
    <x v="1"/>
    <m/>
    <m/>
    <s v="43"/>
    <s v="Roela kool"/>
    <x v="34"/>
    <x v="1"/>
    <x v="34"/>
    <s v=""/>
    <s v=""/>
    <x v="3"/>
    <x v="6"/>
    <m/>
    <m/>
    <n v="8208"/>
  </r>
  <r>
    <x v="299"/>
    <n v="7476"/>
    <x v="3"/>
    <x v="2"/>
    <s v="Töötajate töötasud"/>
    <s v="2"/>
    <x v="1"/>
    <m/>
    <m/>
    <s v="43"/>
    <s v="Roela kool"/>
    <x v="34"/>
    <x v="1"/>
    <x v="34"/>
    <s v=""/>
    <s v=""/>
    <x v="3"/>
    <x v="6"/>
    <m/>
    <m/>
    <n v="7476"/>
  </r>
  <r>
    <x v="392"/>
    <n v="9048"/>
    <x v="3"/>
    <x v="2"/>
    <s v="Töötajate töötasud"/>
    <s v="2"/>
    <x v="1"/>
    <m/>
    <m/>
    <s v="43"/>
    <s v="Roela kool"/>
    <x v="34"/>
    <x v="1"/>
    <x v="34"/>
    <s v=""/>
    <s v=""/>
    <x v="3"/>
    <x v="6"/>
    <m/>
    <m/>
    <n v="9048"/>
  </r>
  <r>
    <x v="393"/>
    <n v="15000"/>
    <x v="3"/>
    <x v="2"/>
    <s v="Töötajate töötasud"/>
    <s v="2"/>
    <x v="1"/>
    <m/>
    <m/>
    <s v="43"/>
    <s v="Roela kool"/>
    <x v="34"/>
    <x v="1"/>
    <x v="34"/>
    <s v=""/>
    <s v=""/>
    <x v="3"/>
    <x v="6"/>
    <m/>
    <m/>
    <n v="15000"/>
  </r>
  <r>
    <x v="394"/>
    <n v="3624"/>
    <x v="3"/>
    <x v="2"/>
    <s v="Töötajate töötasud"/>
    <s v="2"/>
    <x v="1"/>
    <m/>
    <m/>
    <s v="43"/>
    <s v="Roela kool"/>
    <x v="34"/>
    <x v="1"/>
    <x v="34"/>
    <s v=""/>
    <s v=""/>
    <x v="3"/>
    <x v="6"/>
    <m/>
    <m/>
    <n v="3624"/>
  </r>
  <r>
    <x v="395"/>
    <n v="1240.8"/>
    <x v="3"/>
    <x v="2"/>
    <s v="Töötajate töötasud"/>
    <s v="2"/>
    <x v="1"/>
    <m/>
    <m/>
    <s v="33"/>
    <s v="Pajusti Lasteaed"/>
    <x v="37"/>
    <x v="1"/>
    <x v="37"/>
    <m/>
    <m/>
    <x v="3"/>
    <x v="1"/>
    <m/>
    <m/>
    <n v="1240.8"/>
  </r>
  <r>
    <x v="396"/>
    <n v="5493.6"/>
    <x v="3"/>
    <x v="2"/>
    <s v="Töötajate töötasud"/>
    <s v="2"/>
    <x v="1"/>
    <m/>
    <m/>
    <s v="43"/>
    <s v="Roela kool"/>
    <x v="34"/>
    <x v="1"/>
    <x v="34"/>
    <s v=""/>
    <s v=""/>
    <x v="3"/>
    <x v="6"/>
    <m/>
    <m/>
    <n v="5493.6"/>
  </r>
  <r>
    <x v="397"/>
    <n v="7063.2000000000007"/>
    <x v="3"/>
    <x v="2"/>
    <s v="Töötajate töötasud"/>
    <s v="2"/>
    <x v="1"/>
    <m/>
    <m/>
    <s v="43"/>
    <s v="Roela kool"/>
    <x v="34"/>
    <x v="1"/>
    <x v="34"/>
    <s v=""/>
    <s v=""/>
    <x v="3"/>
    <x v="6"/>
    <m/>
    <m/>
    <n v="7063.2000000000007"/>
  </r>
  <r>
    <x v="398"/>
    <n v="1800"/>
    <x v="3"/>
    <x v="2"/>
    <s v="Töötajate töötasud"/>
    <s v="2"/>
    <x v="1"/>
    <m/>
    <m/>
    <s v="43"/>
    <s v="Roela kool"/>
    <x v="34"/>
    <x v="1"/>
    <x v="34"/>
    <s v=""/>
    <s v=""/>
    <x v="3"/>
    <x v="6"/>
    <m/>
    <m/>
    <n v="1800"/>
  </r>
  <r>
    <x v="399"/>
    <n v="8340"/>
    <x v="3"/>
    <x v="2"/>
    <s v="Töötajate töötasud"/>
    <s v="2"/>
    <x v="1"/>
    <m/>
    <m/>
    <s v="43"/>
    <s v="Roela kool"/>
    <x v="34"/>
    <x v="1"/>
    <x v="34"/>
    <s v=""/>
    <s v=""/>
    <x v="3"/>
    <x v="6"/>
    <m/>
    <m/>
    <n v="8340"/>
  </r>
  <r>
    <x v="17"/>
    <n v="3924"/>
    <x v="3"/>
    <x v="2"/>
    <s v="Töötajate töötasud"/>
    <s v="2"/>
    <x v="1"/>
    <m/>
    <m/>
    <s v="43"/>
    <s v="Roela kool"/>
    <x v="34"/>
    <x v="1"/>
    <x v="34"/>
    <s v=""/>
    <s v=""/>
    <x v="3"/>
    <x v="6"/>
    <m/>
    <m/>
    <n v="3924"/>
  </r>
  <r>
    <x v="41"/>
    <n v="11412"/>
    <x v="3"/>
    <x v="2"/>
    <s v="Töötajate töötasud"/>
    <s v="2"/>
    <x v="1"/>
    <m/>
    <m/>
    <s v="43"/>
    <s v="Roela kool"/>
    <x v="34"/>
    <x v="1"/>
    <x v="34"/>
    <s v=""/>
    <s v=""/>
    <x v="3"/>
    <x v="6"/>
    <m/>
    <m/>
    <n v="11412"/>
  </r>
  <r>
    <x v="400"/>
    <n v="2750"/>
    <x v="17"/>
    <x v="2"/>
    <s v="Töötasud võlaõiguslike lepingute alusel"/>
    <s v="2"/>
    <x v="1"/>
    <m/>
    <m/>
    <s v="43"/>
    <s v="Roela kool"/>
    <x v="34"/>
    <x v="1"/>
    <x v="34"/>
    <s v=""/>
    <s v=""/>
    <x v="3"/>
    <x v="6"/>
    <m/>
    <m/>
    <n v="2750"/>
  </r>
  <r>
    <x v="401"/>
    <n v="480"/>
    <x v="9"/>
    <x v="3"/>
    <s v="Administreerimiskulud"/>
    <s v="2"/>
    <x v="1"/>
    <m/>
    <m/>
    <s v="43"/>
    <s v="Roela kool"/>
    <x v="34"/>
    <x v="1"/>
    <x v="34"/>
    <s v=""/>
    <s v=""/>
    <x v="4"/>
    <x v="6"/>
    <m/>
    <m/>
    <n v="480"/>
  </r>
  <r>
    <x v="345"/>
    <n v="100"/>
    <x v="9"/>
    <x v="3"/>
    <s v="Administreerimiskulud"/>
    <s v="2"/>
    <x v="1"/>
    <m/>
    <m/>
    <s v="43"/>
    <s v="Roela kool"/>
    <x v="34"/>
    <x v="1"/>
    <x v="34"/>
    <m/>
    <m/>
    <x v="4"/>
    <x v="6"/>
    <m/>
    <m/>
    <n v="100"/>
  </r>
  <r>
    <x v="402"/>
    <n v="200"/>
    <x v="9"/>
    <x v="3"/>
    <s v="Administreerimiskulud"/>
    <s v="2"/>
    <x v="1"/>
    <m/>
    <m/>
    <s v="43"/>
    <s v="Roela kool"/>
    <x v="34"/>
    <x v="1"/>
    <x v="34"/>
    <m/>
    <m/>
    <x v="4"/>
    <x v="6"/>
    <m/>
    <m/>
    <n v="200"/>
  </r>
  <r>
    <x v="403"/>
    <n v="24"/>
    <x v="9"/>
    <x v="3"/>
    <s v="Administreerimiskulud"/>
    <s v="2"/>
    <x v="1"/>
    <m/>
    <m/>
    <s v="43"/>
    <s v="Roela kool"/>
    <x v="34"/>
    <x v="1"/>
    <x v="34"/>
    <m/>
    <m/>
    <x v="4"/>
    <x v="6"/>
    <m/>
    <m/>
    <n v="24"/>
  </r>
  <r>
    <x v="404"/>
    <n v="100"/>
    <x v="9"/>
    <x v="3"/>
    <s v="Administreerimiskulud"/>
    <s v="2"/>
    <x v="1"/>
    <m/>
    <m/>
    <s v="43"/>
    <s v="Roela kool"/>
    <x v="34"/>
    <x v="1"/>
    <x v="34"/>
    <m/>
    <m/>
    <x v="4"/>
    <x v="6"/>
    <m/>
    <m/>
    <n v="100"/>
  </r>
  <r>
    <x v="405"/>
    <n v="3500"/>
    <x v="9"/>
    <x v="3"/>
    <s v="Administreerimiskulud"/>
    <s v="2"/>
    <x v="1"/>
    <m/>
    <m/>
    <s v="43"/>
    <s v="Roela kool"/>
    <x v="34"/>
    <x v="1"/>
    <x v="34"/>
    <m/>
    <m/>
    <x v="4"/>
    <x v="6"/>
    <m/>
    <m/>
    <n v="3500"/>
  </r>
  <r>
    <x v="197"/>
    <n v="1000"/>
    <x v="31"/>
    <x v="3"/>
    <s v="Koolituskulud (sh koolituslähetus)"/>
    <s v="2"/>
    <x v="1"/>
    <m/>
    <m/>
    <s v="43"/>
    <s v="Roela kool"/>
    <x v="34"/>
    <x v="1"/>
    <x v="34"/>
    <m/>
    <m/>
    <x v="4"/>
    <x v="6"/>
    <m/>
    <m/>
    <n v="1000"/>
  </r>
  <r>
    <x v="406"/>
    <n v="613.52"/>
    <x v="8"/>
    <x v="3"/>
    <s v="Kinnistute, hoonete ja ruumide majandamiskulud"/>
    <s v="2"/>
    <x v="1"/>
    <m/>
    <m/>
    <s v="43"/>
    <s v="Roela kool"/>
    <x v="34"/>
    <x v="1"/>
    <x v="34"/>
    <s v=""/>
    <s v=""/>
    <x v="4"/>
    <x v="6"/>
    <m/>
    <m/>
    <n v="613.52"/>
  </r>
  <r>
    <x v="407"/>
    <n v="221.64"/>
    <x v="8"/>
    <x v="3"/>
    <s v="Kinnistute, hoonete ja ruumide majandamiskulud"/>
    <s v="2"/>
    <x v="1"/>
    <m/>
    <m/>
    <s v="43"/>
    <s v="Roela kool"/>
    <x v="34"/>
    <x v="1"/>
    <x v="34"/>
    <s v=""/>
    <s v=""/>
    <x v="4"/>
    <x v="6"/>
    <m/>
    <m/>
    <n v="221.64"/>
  </r>
  <r>
    <x v="408"/>
    <n v="97.36"/>
    <x v="8"/>
    <x v="3"/>
    <s v="Kinnistute, hoonete ja ruumide majandamiskulud"/>
    <s v="2"/>
    <x v="1"/>
    <m/>
    <m/>
    <s v="43"/>
    <s v="Roela kool"/>
    <x v="34"/>
    <x v="1"/>
    <x v="34"/>
    <s v=""/>
    <s v=""/>
    <x v="4"/>
    <x v="6"/>
    <m/>
    <m/>
    <n v="97.36"/>
  </r>
  <r>
    <x v="179"/>
    <n v="201.6"/>
    <x v="8"/>
    <x v="3"/>
    <s v="Kinnistute, hoonete ja ruumide majandamiskulud"/>
    <s v="2"/>
    <x v="1"/>
    <m/>
    <m/>
    <s v="43"/>
    <s v="Roela kool"/>
    <x v="34"/>
    <x v="1"/>
    <x v="34"/>
    <s v=""/>
    <s v=""/>
    <x v="4"/>
    <x v="6"/>
    <m/>
    <m/>
    <n v="201.6"/>
  </r>
  <r>
    <x v="8"/>
    <n v="379.68"/>
    <x v="8"/>
    <x v="3"/>
    <s v="Kinnistute, hoonete ja ruumide majandamiskulud"/>
    <s v="2"/>
    <x v="1"/>
    <m/>
    <m/>
    <s v="43"/>
    <s v="Roela kool"/>
    <x v="34"/>
    <x v="1"/>
    <x v="34"/>
    <s v=""/>
    <s v=""/>
    <x v="4"/>
    <x v="6"/>
    <m/>
    <m/>
    <n v="379.68"/>
  </r>
  <r>
    <x v="409"/>
    <n v="605"/>
    <x v="8"/>
    <x v="3"/>
    <s v="Kinnistute, hoonete ja ruumide majandamiskulud"/>
    <s v="2"/>
    <x v="1"/>
    <m/>
    <m/>
    <s v="43"/>
    <s v="Roela kool"/>
    <x v="34"/>
    <x v="1"/>
    <x v="34"/>
    <s v=""/>
    <s v=""/>
    <x v="4"/>
    <x v="6"/>
    <m/>
    <m/>
    <n v="605"/>
  </r>
  <r>
    <x v="410"/>
    <n v="1500"/>
    <x v="8"/>
    <x v="3"/>
    <s v="Kinnistute, hoonete ja ruumide majandamiskulud"/>
    <s v="2"/>
    <x v="1"/>
    <m/>
    <m/>
    <s v="43"/>
    <s v="Roela kool"/>
    <x v="34"/>
    <x v="1"/>
    <x v="34"/>
    <m/>
    <m/>
    <x v="4"/>
    <x v="6"/>
    <m/>
    <m/>
    <n v="1500"/>
  </r>
  <r>
    <x v="411"/>
    <n v="120"/>
    <x v="8"/>
    <x v="3"/>
    <s v="Kinnistute, hoonete ja ruumide majandamiskulud"/>
    <s v="2"/>
    <x v="1"/>
    <m/>
    <m/>
    <s v="43"/>
    <s v="Roela kool"/>
    <x v="34"/>
    <x v="1"/>
    <x v="34"/>
    <m/>
    <m/>
    <x v="4"/>
    <x v="6"/>
    <m/>
    <m/>
    <n v="120"/>
  </r>
  <r>
    <x v="412"/>
    <n v="120"/>
    <x v="8"/>
    <x v="3"/>
    <s v="Kinnistute, hoonete ja ruumide majandamiskulud"/>
    <s v="2"/>
    <x v="1"/>
    <m/>
    <m/>
    <s v="43"/>
    <s v="Roela kool"/>
    <x v="34"/>
    <x v="1"/>
    <x v="34"/>
    <m/>
    <m/>
    <x v="4"/>
    <x v="6"/>
    <m/>
    <m/>
    <n v="120"/>
  </r>
  <r>
    <x v="413"/>
    <n v="450"/>
    <x v="8"/>
    <x v="3"/>
    <s v="Kinnistute, hoonete ja ruumide majandamiskulud"/>
    <s v="2"/>
    <x v="1"/>
    <m/>
    <m/>
    <s v="43"/>
    <s v="Roela kool"/>
    <x v="34"/>
    <x v="1"/>
    <x v="34"/>
    <m/>
    <m/>
    <x v="4"/>
    <x v="6"/>
    <m/>
    <m/>
    <n v="450"/>
  </r>
  <r>
    <x v="414"/>
    <n v="2200"/>
    <x v="14"/>
    <x v="3"/>
    <s v="Isikliku sõiduauto kompensatsioon"/>
    <s v="2"/>
    <x v="1"/>
    <m/>
    <m/>
    <s v="25"/>
    <s v="Haridusteenistus"/>
    <x v="82"/>
    <x v="1"/>
    <x v="81"/>
    <s v=""/>
    <s v=""/>
    <x v="4"/>
    <x v="20"/>
    <m/>
    <m/>
    <n v="2200"/>
  </r>
  <r>
    <x v="4"/>
    <n v="19266"/>
    <x v="4"/>
    <x v="2"/>
    <s v="Tööjõukuludega kaasnevad maksud ja sotsiaalkindlustusmaksed"/>
    <s v="2"/>
    <x v="1"/>
    <m/>
    <m/>
    <s v="25"/>
    <s v="Haridusteenistus"/>
    <x v="82"/>
    <x v="1"/>
    <x v="81"/>
    <s v=""/>
    <s v=""/>
    <x v="3"/>
    <x v="20"/>
    <m/>
    <m/>
    <n v="19266"/>
  </r>
  <r>
    <x v="415"/>
    <n v="18000"/>
    <x v="3"/>
    <x v="2"/>
    <s v="Töötajate töötasud"/>
    <s v="2"/>
    <x v="1"/>
    <m/>
    <m/>
    <s v="25"/>
    <s v="Haridusteenistus"/>
    <x v="82"/>
    <x v="1"/>
    <x v="81"/>
    <s v=""/>
    <s v=""/>
    <x v="3"/>
    <x v="20"/>
    <m/>
    <m/>
    <n v="18000"/>
  </r>
  <r>
    <x v="416"/>
    <n v="21000"/>
    <x v="21"/>
    <x v="2"/>
    <s v=" Avaliku teenistuse ametnike töötasu"/>
    <s v="2"/>
    <x v="1"/>
    <m/>
    <m/>
    <s v="25"/>
    <s v="Haridusteenistus"/>
    <x v="82"/>
    <x v="1"/>
    <x v="81"/>
    <s v=""/>
    <s v=""/>
    <x v="3"/>
    <x v="20"/>
    <m/>
    <m/>
    <n v="21000"/>
  </r>
  <r>
    <x v="417"/>
    <n v="18000"/>
    <x v="3"/>
    <x v="2"/>
    <s v="Töötajate töötasud"/>
    <s v="2"/>
    <x v="1"/>
    <m/>
    <m/>
    <s v="25"/>
    <s v="Haridusteenistus"/>
    <x v="82"/>
    <x v="1"/>
    <x v="81"/>
    <s v=""/>
    <s v=""/>
    <x v="3"/>
    <x v="20"/>
    <m/>
    <m/>
    <n v="18000"/>
  </r>
  <r>
    <x v="418"/>
    <n v="1650"/>
    <x v="14"/>
    <x v="3"/>
    <s v="Isikliku sõiduauto kompensatsioon"/>
    <s v="2"/>
    <x v="1"/>
    <m/>
    <m/>
    <s v="25"/>
    <s v="Haridusteenistus"/>
    <x v="82"/>
    <x v="1"/>
    <x v="81"/>
    <s v=""/>
    <s v=""/>
    <x v="4"/>
    <x v="20"/>
    <m/>
    <m/>
    <n v="1650"/>
  </r>
  <r>
    <x v="419"/>
    <n v="1650"/>
    <x v="14"/>
    <x v="3"/>
    <s v="Isikliku sõiduauto kompensatsioon"/>
    <s v="2"/>
    <x v="1"/>
    <m/>
    <m/>
    <s v="25"/>
    <s v="Haridusteenistus"/>
    <x v="82"/>
    <x v="1"/>
    <x v="81"/>
    <s v=""/>
    <s v=""/>
    <x v="4"/>
    <x v="20"/>
    <m/>
    <m/>
    <n v="1650"/>
  </r>
  <r>
    <x v="420"/>
    <n v="2500"/>
    <x v="8"/>
    <x v="3"/>
    <s v="Kinnistute, hoonete ja ruumide majandamiskulud"/>
    <s v="2"/>
    <x v="1"/>
    <m/>
    <m/>
    <s v="290"/>
    <s v="Ulvi, Vinni-Pajusti teeninduspiirkond"/>
    <x v="3"/>
    <x v="0"/>
    <x v="3"/>
    <s v=""/>
    <s v=""/>
    <x v="4"/>
    <x v="3"/>
    <m/>
    <m/>
    <n v="2500"/>
  </r>
  <r>
    <x v="421"/>
    <n v="4000"/>
    <x v="5"/>
    <x v="3"/>
    <s v="Küte ja soojusenergia"/>
    <s v="2"/>
    <x v="1"/>
    <m/>
    <m/>
    <s v="290"/>
    <s v="Ulvi, Vinni-Pajusti teeninduspiirkond"/>
    <x v="3"/>
    <x v="0"/>
    <x v="3"/>
    <s v=""/>
    <s v=""/>
    <x v="4"/>
    <x v="3"/>
    <m/>
    <m/>
    <n v="4000"/>
  </r>
  <r>
    <x v="8"/>
    <n v="1200"/>
    <x v="8"/>
    <x v="3"/>
    <s v="Kinnistute, hoonete ja ruumide majandamiskulud"/>
    <s v="2"/>
    <x v="1"/>
    <m/>
    <m/>
    <s v="290"/>
    <s v="Ulvi, Vinni-Pajusti teeninduspiirkond"/>
    <x v="3"/>
    <x v="0"/>
    <x v="3"/>
    <s v=""/>
    <s v=""/>
    <x v="4"/>
    <x v="3"/>
    <m/>
    <m/>
    <n v="1200"/>
  </r>
  <r>
    <x v="232"/>
    <n v="1500"/>
    <x v="8"/>
    <x v="3"/>
    <s v="Kinnistute, hoonete ja ruumide majandamiskulud"/>
    <s v="2"/>
    <x v="1"/>
    <m/>
    <m/>
    <s v="290"/>
    <s v="Ulvi, Vinni-Pajusti teeninduspiirkond"/>
    <x v="3"/>
    <x v="0"/>
    <x v="3"/>
    <s v=""/>
    <s v=""/>
    <x v="4"/>
    <x v="3"/>
    <m/>
    <m/>
    <n v="1500"/>
  </r>
  <r>
    <x v="4"/>
    <n v="33386.29"/>
    <x v="4"/>
    <x v="2"/>
    <s v="Tööjõukuludega kaasnevad maksud ja sotsiaalkindlustusmaksed"/>
    <s v="2"/>
    <x v="1"/>
    <m/>
    <m/>
    <s v="290"/>
    <s v="Ulvi, Vinni-Pajusti teeninduspiirkond"/>
    <x v="3"/>
    <x v="0"/>
    <x v="3"/>
    <s v=""/>
    <s v=""/>
    <x v="3"/>
    <x v="3"/>
    <m/>
    <m/>
    <n v="33386.29"/>
  </r>
  <r>
    <x v="422"/>
    <n v="14850"/>
    <x v="35"/>
    <x v="2"/>
    <s v="Muude isikute töötasud"/>
    <s v="2"/>
    <x v="1"/>
    <m/>
    <m/>
    <s v="290"/>
    <s v="Ulvi, Vinni-Pajusti teeninduspiirkond"/>
    <x v="3"/>
    <x v="0"/>
    <x v="3"/>
    <s v=""/>
    <s v=""/>
    <x v="3"/>
    <x v="3"/>
    <m/>
    <m/>
    <n v="14850"/>
  </r>
  <r>
    <x v="423"/>
    <n v="25344"/>
    <x v="3"/>
    <x v="2"/>
    <s v="Töötajate töötasud"/>
    <s v="2"/>
    <x v="1"/>
    <m/>
    <m/>
    <s v="290"/>
    <s v="Ulvi, Vinni-Pajusti teeninduspiirkond"/>
    <x v="3"/>
    <x v="0"/>
    <x v="3"/>
    <s v=""/>
    <s v=""/>
    <x v="3"/>
    <x v="3"/>
    <m/>
    <m/>
    <n v="25344"/>
  </r>
  <r>
    <x v="424"/>
    <n v="4680"/>
    <x v="3"/>
    <x v="2"/>
    <s v="Töötajate töötasud"/>
    <s v="2"/>
    <x v="1"/>
    <m/>
    <m/>
    <s v="290"/>
    <s v="Ulvi, Vinni-Pajusti teeninduspiirkond"/>
    <x v="3"/>
    <x v="0"/>
    <x v="3"/>
    <s v=""/>
    <s v=""/>
    <x v="3"/>
    <x v="3"/>
    <m/>
    <m/>
    <n v="4680"/>
  </r>
  <r>
    <x v="425"/>
    <n v="12672"/>
    <x v="3"/>
    <x v="2"/>
    <s v="Töötajate töötasud"/>
    <s v="2"/>
    <x v="1"/>
    <m/>
    <m/>
    <s v="290"/>
    <s v="Ulvi, Vinni-Pajusti teeninduspiirkond"/>
    <x v="3"/>
    <x v="0"/>
    <x v="3"/>
    <s v=""/>
    <s v=""/>
    <x v="3"/>
    <x v="3"/>
    <m/>
    <m/>
    <n v="12672"/>
  </r>
  <r>
    <x v="30"/>
    <n v="12672"/>
    <x v="3"/>
    <x v="2"/>
    <s v="Töötajate töötasud"/>
    <s v="2"/>
    <x v="1"/>
    <m/>
    <m/>
    <s v="290"/>
    <s v="Ulvi, Vinni-Pajusti teeninduspiirkond"/>
    <x v="3"/>
    <x v="0"/>
    <x v="3"/>
    <s v=""/>
    <s v=""/>
    <x v="3"/>
    <x v="3"/>
    <m/>
    <m/>
    <n v="12672"/>
  </r>
  <r>
    <x v="116"/>
    <n v="10800"/>
    <x v="11"/>
    <x v="3"/>
    <s v="Kütus"/>
    <s v="2"/>
    <x v="1"/>
    <m/>
    <m/>
    <s v="290"/>
    <s v="Ulvi, Vinni-Pajusti teeninduspiirkond"/>
    <x v="3"/>
    <x v="0"/>
    <x v="3"/>
    <s v=""/>
    <s v=""/>
    <x v="4"/>
    <x v="3"/>
    <m/>
    <m/>
    <n v="10800"/>
  </r>
  <r>
    <x v="426"/>
    <n v="1800"/>
    <x v="14"/>
    <x v="3"/>
    <s v="Isikliku sõiduauto kompensatsioon"/>
    <s v="2"/>
    <x v="1"/>
    <m/>
    <m/>
    <s v="290"/>
    <s v="Ulvi, Vinni-Pajusti teeninduspiirkond"/>
    <x v="3"/>
    <x v="0"/>
    <x v="3"/>
    <s v=""/>
    <s v=""/>
    <x v="4"/>
    <x v="3"/>
    <m/>
    <m/>
    <n v="1800"/>
  </r>
  <r>
    <x v="427"/>
    <n v="6000"/>
    <x v="8"/>
    <x v="3"/>
    <s v="Kinnistute, hoonete ja ruumide majandamiskulud"/>
    <s v="2"/>
    <x v="1"/>
    <m/>
    <m/>
    <s v="290"/>
    <s v="Ulvi, Vinni-Pajusti teeninduspiirkond"/>
    <x v="3"/>
    <x v="0"/>
    <x v="3"/>
    <s v=""/>
    <s v=""/>
    <x v="4"/>
    <x v="3"/>
    <m/>
    <m/>
    <n v="6000"/>
  </r>
  <r>
    <x v="428"/>
    <n v="2520"/>
    <x v="30"/>
    <x v="3"/>
    <s v="Sõidukite ülalpidamise kulud"/>
    <s v="2"/>
    <x v="1"/>
    <m/>
    <m/>
    <s v="290"/>
    <s v="Ulvi, Vinni-Pajusti teeninduspiirkond"/>
    <x v="3"/>
    <x v="0"/>
    <x v="3"/>
    <s v=""/>
    <s v=""/>
    <x v="4"/>
    <x v="3"/>
    <m/>
    <m/>
    <n v="2520"/>
  </r>
  <r>
    <x v="429"/>
    <n v="191.76"/>
    <x v="8"/>
    <x v="3"/>
    <s v="Kinnistute, hoonete ja ruumide majandamiskulud"/>
    <s v="2"/>
    <x v="1"/>
    <m/>
    <m/>
    <s v="290"/>
    <s v="Ulvi, Vinni-Pajusti teeninduspiirkond"/>
    <x v="3"/>
    <x v="0"/>
    <x v="3"/>
    <s v=""/>
    <s v=""/>
    <x v="4"/>
    <x v="3"/>
    <m/>
    <m/>
    <n v="191.76"/>
  </r>
  <r>
    <x v="430"/>
    <n v="6480"/>
    <x v="8"/>
    <x v="3"/>
    <s v="Kinnistute, hoonete ja ruumide majandamiskulud"/>
    <s v="2"/>
    <x v="1"/>
    <m/>
    <m/>
    <s v="290"/>
    <s v="Ulvi, Vinni-Pajusti teeninduspiirkond"/>
    <x v="3"/>
    <x v="0"/>
    <x v="3"/>
    <s v=""/>
    <s v=""/>
    <x v="4"/>
    <x v="3"/>
    <m/>
    <m/>
    <n v="6480"/>
  </r>
  <r>
    <x v="431"/>
    <n v="115.08"/>
    <x v="8"/>
    <x v="3"/>
    <s v="Kinnistute, hoonete ja ruumide majandamiskulud"/>
    <s v="2"/>
    <x v="1"/>
    <m/>
    <m/>
    <s v="290"/>
    <s v="Ulvi, Vinni-Pajusti teeninduspiirkond"/>
    <x v="3"/>
    <x v="0"/>
    <x v="3"/>
    <s v=""/>
    <s v=""/>
    <x v="4"/>
    <x v="3"/>
    <m/>
    <m/>
    <n v="115.08"/>
  </r>
  <r>
    <x v="432"/>
    <n v="1908"/>
    <x v="8"/>
    <x v="3"/>
    <s v="Kinnistute, hoonete ja ruumide majandamiskulud"/>
    <s v="2"/>
    <x v="1"/>
    <m/>
    <m/>
    <s v="290"/>
    <s v="Ulvi, Vinni-Pajusti teeninduspiirkond"/>
    <x v="3"/>
    <x v="0"/>
    <x v="3"/>
    <s v=""/>
    <s v=""/>
    <x v="4"/>
    <x v="3"/>
    <m/>
    <m/>
    <n v="1908"/>
  </r>
  <r>
    <x v="433"/>
    <n v="488.16"/>
    <x v="8"/>
    <x v="3"/>
    <s v="Kinnistute, hoonete ja ruumide majandamiskulud"/>
    <s v="2"/>
    <x v="1"/>
    <m/>
    <m/>
    <s v="290"/>
    <s v="Ulvi, Vinni-Pajusti teeninduspiirkond"/>
    <x v="3"/>
    <x v="0"/>
    <x v="3"/>
    <s v=""/>
    <s v=""/>
    <x v="4"/>
    <x v="3"/>
    <m/>
    <m/>
    <n v="488.16"/>
  </r>
  <r>
    <x v="190"/>
    <n v="144"/>
    <x v="7"/>
    <x v="3"/>
    <s v="Vesi ja kanalisatsioon"/>
    <s v="2"/>
    <x v="1"/>
    <m/>
    <m/>
    <s v="290"/>
    <s v="Ulvi, Vinni-Pajusti teeninduspiirkond"/>
    <x v="3"/>
    <x v="0"/>
    <x v="3"/>
    <s v=""/>
    <s v=""/>
    <x v="4"/>
    <x v="3"/>
    <m/>
    <m/>
    <n v="144"/>
  </r>
  <r>
    <x v="434"/>
    <n v="396"/>
    <x v="10"/>
    <x v="3"/>
    <s v="Info- ja kommunikatsioonitehnoloogia kulud"/>
    <s v="2"/>
    <x v="1"/>
    <m/>
    <m/>
    <s v="290"/>
    <s v="Ulvi, Vinni-Pajusti teeninduspiirkond"/>
    <x v="3"/>
    <x v="0"/>
    <x v="3"/>
    <s v=""/>
    <s v=""/>
    <x v="4"/>
    <x v="3"/>
    <m/>
    <m/>
    <n v="396"/>
  </r>
  <r>
    <x v="9"/>
    <n v="97.2"/>
    <x v="8"/>
    <x v="3"/>
    <s v="Kinnistute, hoonete ja ruumide majandamiskulud"/>
    <s v="2"/>
    <x v="1"/>
    <m/>
    <m/>
    <s v="290"/>
    <s v="Ulvi, Vinni-Pajusti teeninduspiirkond"/>
    <x v="3"/>
    <x v="0"/>
    <x v="3"/>
    <s v=""/>
    <s v=""/>
    <x v="4"/>
    <x v="3"/>
    <m/>
    <m/>
    <n v="97.2"/>
  </r>
  <r>
    <x v="435"/>
    <n v="1200"/>
    <x v="8"/>
    <x v="3"/>
    <s v="Kinnistute, hoonete ja ruumide majandamiskulud"/>
    <s v="2"/>
    <x v="1"/>
    <m/>
    <m/>
    <s v="290"/>
    <s v="Ulvi, Vinni-Pajusti teeninduspiirkond"/>
    <x v="3"/>
    <x v="0"/>
    <x v="3"/>
    <s v=""/>
    <s v=""/>
    <x v="4"/>
    <x v="3"/>
    <m/>
    <m/>
    <n v="1200"/>
  </r>
  <r>
    <x v="196"/>
    <n v="384"/>
    <x v="9"/>
    <x v="3"/>
    <s v="Administreerimiskulud"/>
    <s v="2"/>
    <x v="1"/>
    <m/>
    <m/>
    <s v="290"/>
    <s v="Ulvi, Vinni-Pajusti teeninduspiirkond"/>
    <x v="3"/>
    <x v="0"/>
    <x v="3"/>
    <s v=""/>
    <s v=""/>
    <x v="4"/>
    <x v="3"/>
    <m/>
    <m/>
    <n v="384"/>
  </r>
  <r>
    <x v="168"/>
    <n v="900"/>
    <x v="7"/>
    <x v="3"/>
    <s v="Vesi ja kanalisatsioon"/>
    <s v="2"/>
    <x v="1"/>
    <m/>
    <m/>
    <s v="290"/>
    <s v="Ulvi, Vinni-Pajusti teeninduspiirkond"/>
    <x v="3"/>
    <x v="0"/>
    <x v="3"/>
    <s v=""/>
    <s v=""/>
    <x v="4"/>
    <x v="3"/>
    <m/>
    <m/>
    <n v="900"/>
  </r>
  <r>
    <x v="436"/>
    <n v="600"/>
    <x v="8"/>
    <x v="3"/>
    <s v="Kinnistute, hoonete ja ruumide majandamiskulud"/>
    <s v="2"/>
    <x v="1"/>
    <m/>
    <m/>
    <s v="290"/>
    <s v="Ulvi, Vinni-Pajusti teeninduspiirkond"/>
    <x v="3"/>
    <x v="0"/>
    <x v="3"/>
    <s v=""/>
    <s v=""/>
    <x v="4"/>
    <x v="3"/>
    <m/>
    <m/>
    <n v="600"/>
  </r>
  <r>
    <x v="6"/>
    <n v="5400"/>
    <x v="6"/>
    <x v="3"/>
    <s v="Elekter"/>
    <s v="2"/>
    <x v="1"/>
    <m/>
    <m/>
    <s v="290"/>
    <s v="Ulvi, Vinni-Pajusti teeninduspiirkond"/>
    <x v="3"/>
    <x v="0"/>
    <x v="3"/>
    <s v=""/>
    <s v=""/>
    <x v="4"/>
    <x v="3"/>
    <m/>
    <m/>
    <n v="5400"/>
  </r>
  <r>
    <x v="437"/>
    <n v="459.12"/>
    <x v="8"/>
    <x v="3"/>
    <s v="Kinnistute, hoonete ja ruumide majandamiskulud"/>
    <s v="2"/>
    <x v="1"/>
    <m/>
    <m/>
    <s v="290"/>
    <s v="Ulvi, Vinni-Pajusti teeninduspiirkond"/>
    <x v="3"/>
    <x v="0"/>
    <x v="3"/>
    <s v=""/>
    <s v=""/>
    <x v="4"/>
    <x v="3"/>
    <m/>
    <m/>
    <n v="459.12"/>
  </r>
  <r>
    <x v="438"/>
    <n v="2466.7199999999998"/>
    <x v="8"/>
    <x v="3"/>
    <s v="Kinnistute, hoonete ja ruumide majandamiskulud"/>
    <s v="2"/>
    <x v="1"/>
    <m/>
    <m/>
    <s v="290"/>
    <s v="Ulvi, Vinni-Pajusti teeninduspiirkond"/>
    <x v="3"/>
    <x v="0"/>
    <x v="3"/>
    <s v=""/>
    <s v=""/>
    <x v="4"/>
    <x v="3"/>
    <m/>
    <m/>
    <n v="2466.7199999999998"/>
  </r>
  <r>
    <x v="439"/>
    <n v="7800"/>
    <x v="8"/>
    <x v="3"/>
    <s v="Kinnistute, hoonete ja ruumide majandamiskulud"/>
    <s v="2"/>
    <x v="1"/>
    <m/>
    <m/>
    <s v="290"/>
    <s v="Ulvi, Vinni-Pajusti teeninduspiirkond"/>
    <x v="3"/>
    <x v="0"/>
    <x v="3"/>
    <s v=""/>
    <s v=""/>
    <x v="4"/>
    <x v="3"/>
    <m/>
    <m/>
    <n v="7800"/>
  </r>
  <r>
    <x v="440"/>
    <n v="6000"/>
    <x v="3"/>
    <x v="2"/>
    <s v="Töötajate töötasud"/>
    <s v="2"/>
    <x v="1"/>
    <m/>
    <m/>
    <s v="290"/>
    <s v="Ulvi, Vinni-Pajusti teeninduspiirkond"/>
    <x v="3"/>
    <x v="0"/>
    <x v="3"/>
    <s v=""/>
    <s v=""/>
    <x v="3"/>
    <x v="3"/>
    <m/>
    <m/>
    <n v="6000"/>
  </r>
  <r>
    <x v="194"/>
    <n v="19560"/>
    <x v="3"/>
    <x v="2"/>
    <s v="Töötajate töötasud"/>
    <s v="2"/>
    <x v="1"/>
    <m/>
    <m/>
    <s v="290"/>
    <s v="Ulvi, Vinni-Pajusti teeninduspiirkond"/>
    <x v="3"/>
    <x v="0"/>
    <x v="3"/>
    <s v=""/>
    <s v=""/>
    <x v="3"/>
    <x v="3"/>
    <m/>
    <m/>
    <n v="19560"/>
  </r>
  <r>
    <x v="17"/>
    <n v="7848"/>
    <x v="3"/>
    <x v="2"/>
    <s v="Töötajate töötasud"/>
    <s v="2"/>
    <x v="1"/>
    <m/>
    <m/>
    <s v="290"/>
    <s v="Ulvi, Vinni-Pajusti teeninduspiirkond"/>
    <x v="3"/>
    <x v="0"/>
    <x v="3"/>
    <s v=""/>
    <s v=""/>
    <x v="3"/>
    <x v="3"/>
    <m/>
    <m/>
    <n v="7848"/>
  </r>
  <r>
    <x v="258"/>
    <n v="5827.31"/>
    <x v="13"/>
    <x v="3"/>
    <s v="Sõidukite kasutusrent"/>
    <s v="2"/>
    <x v="1"/>
    <m/>
    <m/>
    <s v="290"/>
    <s v="Ulvi, Vinni-Pajusti teeninduspiirkond"/>
    <x v="3"/>
    <x v="0"/>
    <x v="3"/>
    <s v=""/>
    <s v=""/>
    <x v="4"/>
    <x v="3"/>
    <m/>
    <m/>
    <n v="5827.31"/>
  </r>
  <r>
    <x v="441"/>
    <n v="50000"/>
    <x v="1"/>
    <x v="0"/>
    <s v="Hooned ja rajatised"/>
    <s v="4"/>
    <x v="0"/>
    <m/>
    <m/>
    <s v="215"/>
    <s v="Ehitusnõunik"/>
    <x v="7"/>
    <x v="1"/>
    <x v="7"/>
    <s v=""/>
    <s v=""/>
    <x v="1"/>
    <x v="6"/>
    <m/>
    <m/>
    <n v="50000"/>
  </r>
  <r>
    <x v="442"/>
    <n v="16000"/>
    <x v="32"/>
    <x v="5"/>
    <s v="Muud sotsiaalabitoetused"/>
    <s v="2"/>
    <x v="1"/>
    <m/>
    <m/>
    <s v="24"/>
    <s v="Sotsiaalteenistus"/>
    <x v="83"/>
    <x v="4"/>
    <x v="82"/>
    <s v=""/>
    <s v=""/>
    <x v="7"/>
    <x v="30"/>
    <m/>
    <m/>
    <n v="16000"/>
  </r>
  <r>
    <x v="443"/>
    <n v="662.4"/>
    <x v="10"/>
    <x v="3"/>
    <s v="Info- ja kommunikatsioonitehnoloogia kulud"/>
    <s v="2"/>
    <x v="1"/>
    <m/>
    <m/>
    <s v="22"/>
    <s v="Majandusteenistus"/>
    <x v="84"/>
    <x v="0"/>
    <x v="83"/>
    <s v=""/>
    <s v=""/>
    <x v="4"/>
    <x v="3"/>
    <m/>
    <m/>
    <n v="662.4"/>
  </r>
  <r>
    <x v="444"/>
    <n v="9000"/>
    <x v="8"/>
    <x v="3"/>
    <s v="Kinnistute, hoonete ja ruumide majandamiskulud"/>
    <s v="2"/>
    <x v="1"/>
    <m/>
    <m/>
    <s v="22"/>
    <s v="Majandusteenistus"/>
    <x v="84"/>
    <x v="0"/>
    <x v="83"/>
    <s v=""/>
    <s v=""/>
    <x v="4"/>
    <x v="3"/>
    <m/>
    <m/>
    <n v="9000"/>
  </r>
  <r>
    <x v="445"/>
    <n v="50000"/>
    <x v="1"/>
    <x v="0"/>
    <s v="Hooned ja rajatised"/>
    <s v="4"/>
    <x v="0"/>
    <m/>
    <m/>
    <s v="215"/>
    <s v="Ehitusnõunik"/>
    <x v="85"/>
    <x v="2"/>
    <x v="84"/>
    <s v=""/>
    <s v=""/>
    <x v="1"/>
    <x v="2"/>
    <m/>
    <m/>
    <n v="50000"/>
  </r>
  <r>
    <x v="446"/>
    <n v="185000"/>
    <x v="1"/>
    <x v="0"/>
    <s v="Hooned ja rajatised"/>
    <s v="4"/>
    <x v="0"/>
    <m/>
    <m/>
    <s v="215"/>
    <s v="Ehitusnõunik"/>
    <x v="85"/>
    <x v="2"/>
    <x v="84"/>
    <s v=""/>
    <s v=""/>
    <x v="1"/>
    <x v="2"/>
    <m/>
    <m/>
    <n v="185000"/>
  </r>
  <r>
    <x v="118"/>
    <n v="100"/>
    <x v="18"/>
    <x v="4"/>
    <s v="MAKSU-, LÕIVU-, TRAHVIKULUD"/>
    <s v="2"/>
    <x v="1"/>
    <m/>
    <m/>
    <s v="215"/>
    <s v="Ehitusnõunik"/>
    <x v="85"/>
    <x v="2"/>
    <x v="84"/>
    <s v=""/>
    <s v=""/>
    <x v="5"/>
    <x v="2"/>
    <m/>
    <m/>
    <n v="100"/>
  </r>
  <r>
    <x v="320"/>
    <n v="4000"/>
    <x v="22"/>
    <x v="3"/>
    <s v="Rajatiste majandamiskulud"/>
    <s v="2"/>
    <x v="1"/>
    <m/>
    <m/>
    <s v="215"/>
    <s v="Ehitusnõunik"/>
    <x v="85"/>
    <x v="2"/>
    <x v="84"/>
    <s v=""/>
    <s v=""/>
    <x v="4"/>
    <x v="2"/>
    <m/>
    <m/>
    <n v="4000"/>
  </r>
  <r>
    <x v="447"/>
    <n v="59183.656987999995"/>
    <x v="43"/>
    <x v="4"/>
    <s v="Muud tegevuskulud"/>
    <s v="2"/>
    <x v="1"/>
    <m/>
    <m/>
    <s v="2"/>
    <s v="Valla- ja linnavalitsus"/>
    <x v="86"/>
    <x v="5"/>
    <x v="85"/>
    <s v=""/>
    <s v=""/>
    <x v="5"/>
    <x v="31"/>
    <m/>
    <m/>
    <n v="59183.656987999995"/>
  </r>
  <r>
    <x v="448"/>
    <n v="25000"/>
    <x v="1"/>
    <x v="0"/>
    <s v="Hooned ja rajatised"/>
    <s v="4"/>
    <x v="0"/>
    <m/>
    <m/>
    <s v="2"/>
    <s v="Valla- ja linnavalitsus"/>
    <x v="86"/>
    <x v="5"/>
    <x v="85"/>
    <s v=""/>
    <s v=""/>
    <x v="1"/>
    <x v="31"/>
    <m/>
    <m/>
    <n v="25000"/>
  </r>
  <r>
    <x v="449"/>
    <n v="581"/>
    <x v="44"/>
    <x v="5"/>
    <s v="Õppetoetused"/>
    <s v="2"/>
    <x v="1"/>
    <m/>
    <m/>
    <s v="216"/>
    <s v="Teede- ja ühistranspordinõunik"/>
    <x v="87"/>
    <x v="1"/>
    <x v="86"/>
    <s v=""/>
    <s v=""/>
    <x v="7"/>
    <x v="32"/>
    <m/>
    <m/>
    <n v="581"/>
  </r>
  <r>
    <x v="202"/>
    <n v="400"/>
    <x v="28"/>
    <x v="3"/>
    <s v="Mitmesugused majanduskulud"/>
    <s v="2"/>
    <x v="1"/>
    <m/>
    <m/>
    <s v="216"/>
    <s v="Teede- ja ühistranspordinõunik"/>
    <x v="87"/>
    <x v="1"/>
    <x v="86"/>
    <s v=""/>
    <s v=""/>
    <x v="4"/>
    <x v="32"/>
    <m/>
    <m/>
    <n v="400"/>
  </r>
  <r>
    <x v="450"/>
    <n v="2550"/>
    <x v="44"/>
    <x v="5"/>
    <s v="Õppetoetused"/>
    <s v="2"/>
    <x v="1"/>
    <m/>
    <m/>
    <s v="216"/>
    <s v="Teede- ja ühistranspordinõunik"/>
    <x v="87"/>
    <x v="1"/>
    <x v="86"/>
    <s v=""/>
    <s v=""/>
    <x v="7"/>
    <x v="32"/>
    <m/>
    <m/>
    <n v="2550"/>
  </r>
  <r>
    <x v="451"/>
    <n v="35000"/>
    <x v="44"/>
    <x v="5"/>
    <s v="Õppetoetused"/>
    <s v="2"/>
    <x v="1"/>
    <m/>
    <m/>
    <s v="216"/>
    <s v="Teede- ja ühistranspordinõunik"/>
    <x v="87"/>
    <x v="1"/>
    <x v="86"/>
    <s v=""/>
    <s v=""/>
    <x v="7"/>
    <x v="32"/>
    <m/>
    <m/>
    <n v="35000"/>
  </r>
  <r>
    <x v="452"/>
    <n v="200"/>
    <x v="30"/>
    <x v="3"/>
    <s v="Sõidukite ülalpidamise kulud"/>
    <s v="2"/>
    <x v="1"/>
    <m/>
    <m/>
    <s v="216"/>
    <s v="Teede- ja ühistranspordinõunik"/>
    <x v="87"/>
    <x v="1"/>
    <x v="86"/>
    <s v=""/>
    <s v=""/>
    <x v="4"/>
    <x v="32"/>
    <m/>
    <m/>
    <n v="200"/>
  </r>
  <r>
    <x v="453"/>
    <n v="90"/>
    <x v="30"/>
    <x v="3"/>
    <s v="Sõidukite ülalpidamise kulud"/>
    <s v="2"/>
    <x v="1"/>
    <m/>
    <m/>
    <s v="216"/>
    <s v="Teede- ja ühistranspordinõunik"/>
    <x v="87"/>
    <x v="1"/>
    <x v="86"/>
    <s v=""/>
    <s v=""/>
    <x v="4"/>
    <x v="32"/>
    <m/>
    <m/>
    <n v="90"/>
  </r>
  <r>
    <x v="454"/>
    <n v="27000"/>
    <x v="11"/>
    <x v="3"/>
    <s v="Kütus"/>
    <s v="2"/>
    <x v="1"/>
    <m/>
    <m/>
    <s v="216"/>
    <s v="Teede- ja ühistranspordinõunik"/>
    <x v="87"/>
    <x v="1"/>
    <x v="86"/>
    <s v=""/>
    <s v=""/>
    <x v="4"/>
    <x v="32"/>
    <m/>
    <m/>
    <n v="27000"/>
  </r>
  <r>
    <x v="455"/>
    <n v="780"/>
    <x v="30"/>
    <x v="3"/>
    <s v="Sõidukite ülalpidamise kulud"/>
    <s v="2"/>
    <x v="1"/>
    <m/>
    <m/>
    <s v="216"/>
    <s v="Teede- ja ühistranspordinõunik"/>
    <x v="87"/>
    <x v="1"/>
    <x v="86"/>
    <s v=""/>
    <s v=""/>
    <x v="4"/>
    <x v="32"/>
    <m/>
    <m/>
    <n v="780"/>
  </r>
  <r>
    <x v="456"/>
    <n v="37152"/>
    <x v="13"/>
    <x v="3"/>
    <s v="Sõidukite kasutusrent"/>
    <s v="2"/>
    <x v="1"/>
    <m/>
    <m/>
    <s v="216"/>
    <s v="Teede- ja ühistranspordinõunik"/>
    <x v="87"/>
    <x v="1"/>
    <x v="86"/>
    <s v=""/>
    <s v=""/>
    <x v="4"/>
    <x v="32"/>
    <m/>
    <m/>
    <n v="37152"/>
  </r>
  <r>
    <x v="4"/>
    <n v="4867.2"/>
    <x v="4"/>
    <x v="2"/>
    <s v="Tööjõukuludega kaasnevad maksud ja sotsiaalkindlustusmaksed"/>
    <s v="2"/>
    <x v="1"/>
    <m/>
    <m/>
    <s v="216"/>
    <s v="Teede- ja ühistranspordinõunik"/>
    <x v="87"/>
    <x v="1"/>
    <x v="86"/>
    <s v=""/>
    <s v=""/>
    <x v="3"/>
    <x v="32"/>
    <m/>
    <m/>
    <n v="4867.2"/>
  </r>
  <r>
    <x v="457"/>
    <n v="14400"/>
    <x v="3"/>
    <x v="2"/>
    <s v="Töötajate töötasud"/>
    <s v="2"/>
    <x v="1"/>
    <m/>
    <m/>
    <s v="216"/>
    <s v="Teede- ja ühistranspordinõunik"/>
    <x v="87"/>
    <x v="1"/>
    <x v="86"/>
    <s v=""/>
    <s v=""/>
    <x v="3"/>
    <x v="32"/>
    <m/>
    <m/>
    <n v="14400"/>
  </r>
  <r>
    <x v="458"/>
    <n v="60000"/>
    <x v="44"/>
    <x v="5"/>
    <s v="Õppetoetused"/>
    <s v="2"/>
    <x v="1"/>
    <m/>
    <m/>
    <s v="216"/>
    <s v="Teede- ja ühistranspordinõunik"/>
    <x v="87"/>
    <x v="1"/>
    <x v="86"/>
    <s v=""/>
    <s v=""/>
    <x v="7"/>
    <x v="32"/>
    <m/>
    <m/>
    <n v="60000"/>
  </r>
  <r>
    <x v="261"/>
    <n v="2500"/>
    <x v="12"/>
    <x v="3"/>
    <s v="Kindlustus"/>
    <s v="2"/>
    <x v="1"/>
    <m/>
    <m/>
    <s v="216"/>
    <s v="Teede- ja ühistranspordinõunik"/>
    <x v="87"/>
    <x v="1"/>
    <x v="86"/>
    <s v=""/>
    <s v=""/>
    <x v="4"/>
    <x v="32"/>
    <m/>
    <m/>
    <n v="2500"/>
  </r>
  <r>
    <x v="459"/>
    <n v="1224"/>
    <x v="17"/>
    <x v="2"/>
    <s v="Töötasud võlaõiguslike lepingute alusel"/>
    <s v="2"/>
    <x v="1"/>
    <m/>
    <m/>
    <s v="62"/>
    <s v="Laekvere Rahvamaja"/>
    <x v="88"/>
    <x v="2"/>
    <x v="87"/>
    <s v=""/>
    <s v=""/>
    <x v="3"/>
    <x v="19"/>
    <m/>
    <m/>
    <n v="1224"/>
  </r>
  <r>
    <x v="460"/>
    <n v="345.6"/>
    <x v="8"/>
    <x v="3"/>
    <s v="Kinnistute, hoonete ja ruumide majandamiskulud"/>
    <s v="2"/>
    <x v="1"/>
    <m/>
    <m/>
    <s v="62"/>
    <s v="Laekvere Rahvamaja"/>
    <x v="88"/>
    <x v="2"/>
    <x v="87"/>
    <s v=""/>
    <s v=""/>
    <x v="4"/>
    <x v="19"/>
    <m/>
    <m/>
    <n v="345.6"/>
  </r>
  <r>
    <x v="461"/>
    <n v="114"/>
    <x v="10"/>
    <x v="3"/>
    <s v="Info- ja kommunikatsioonitehnoloogia kulud"/>
    <s v="2"/>
    <x v="1"/>
    <m/>
    <m/>
    <s v="62"/>
    <s v="Laekvere Rahvamaja"/>
    <x v="88"/>
    <x v="2"/>
    <x v="87"/>
    <s v=""/>
    <s v=""/>
    <x v="4"/>
    <x v="19"/>
    <m/>
    <m/>
    <n v="114"/>
  </r>
  <r>
    <x v="196"/>
    <n v="264"/>
    <x v="9"/>
    <x v="3"/>
    <s v="Administreerimiskulud"/>
    <s v="2"/>
    <x v="1"/>
    <m/>
    <m/>
    <s v="62"/>
    <s v="Laekvere Rahvamaja"/>
    <x v="88"/>
    <x v="2"/>
    <x v="87"/>
    <s v=""/>
    <s v=""/>
    <x v="4"/>
    <x v="19"/>
    <m/>
    <m/>
    <n v="264"/>
  </r>
  <r>
    <x v="462"/>
    <n v="544"/>
    <x v="17"/>
    <x v="2"/>
    <s v="Töötasud võlaõiguslike lepingute alusel"/>
    <s v="2"/>
    <x v="1"/>
    <m/>
    <m/>
    <s v="62"/>
    <s v="Laekvere Rahvamaja"/>
    <x v="88"/>
    <x v="2"/>
    <x v="87"/>
    <s v=""/>
    <s v=""/>
    <x v="3"/>
    <x v="19"/>
    <m/>
    <m/>
    <n v="544"/>
  </r>
  <r>
    <x v="148"/>
    <n v="1944"/>
    <x v="17"/>
    <x v="2"/>
    <s v="Töötasud võlaõiguslike lepingute alusel"/>
    <s v="2"/>
    <x v="1"/>
    <m/>
    <m/>
    <s v="62"/>
    <s v="Laekvere Rahvamaja"/>
    <x v="88"/>
    <x v="2"/>
    <x v="87"/>
    <s v=""/>
    <s v=""/>
    <x v="3"/>
    <x v="19"/>
    <m/>
    <m/>
    <n v="1944"/>
  </r>
  <r>
    <x v="61"/>
    <n v="880"/>
    <x v="14"/>
    <x v="3"/>
    <s v="Isikliku sõiduauto kompensatsioon"/>
    <s v="2"/>
    <x v="1"/>
    <m/>
    <m/>
    <s v="62"/>
    <s v="Laekvere Rahvamaja"/>
    <x v="88"/>
    <x v="2"/>
    <x v="87"/>
    <s v=""/>
    <s v=""/>
    <x v="4"/>
    <x v="19"/>
    <m/>
    <m/>
    <n v="880"/>
  </r>
  <r>
    <x v="13"/>
    <n v="13200"/>
    <x v="3"/>
    <x v="2"/>
    <s v="Töötajate töötasud"/>
    <s v="2"/>
    <x v="1"/>
    <m/>
    <m/>
    <s v="62"/>
    <s v="Laekvere Rahvamaja"/>
    <x v="88"/>
    <x v="2"/>
    <x v="87"/>
    <s v=""/>
    <s v=""/>
    <x v="3"/>
    <x v="19"/>
    <m/>
    <m/>
    <n v="13200"/>
  </r>
  <r>
    <x v="46"/>
    <n v="7848"/>
    <x v="3"/>
    <x v="2"/>
    <s v="Töötajate töötasud"/>
    <s v="2"/>
    <x v="1"/>
    <m/>
    <m/>
    <s v="62"/>
    <s v="Laekvere Rahvamaja"/>
    <x v="88"/>
    <x v="2"/>
    <x v="87"/>
    <s v=""/>
    <s v=""/>
    <x v="3"/>
    <x v="19"/>
    <m/>
    <m/>
    <n v="7848"/>
  </r>
  <r>
    <x v="4"/>
    <n v="13183.35"/>
    <x v="4"/>
    <x v="2"/>
    <s v="Tööjõukuludega kaasnevad maksud ja sotsiaalkindlustusmaksed"/>
    <s v="2"/>
    <x v="1"/>
    <m/>
    <m/>
    <s v="62"/>
    <s v="Laekvere Rahvamaja"/>
    <x v="88"/>
    <x v="2"/>
    <x v="87"/>
    <s v=""/>
    <s v=""/>
    <x v="3"/>
    <x v="19"/>
    <m/>
    <m/>
    <n v="13183.35"/>
  </r>
  <r>
    <x v="3"/>
    <n v="7848"/>
    <x v="3"/>
    <x v="2"/>
    <s v="Töötajate töötasud"/>
    <s v="2"/>
    <x v="1"/>
    <m/>
    <m/>
    <s v="62"/>
    <s v="Laekvere Rahvamaja"/>
    <x v="88"/>
    <x v="2"/>
    <x v="87"/>
    <s v=""/>
    <s v=""/>
    <x v="3"/>
    <x v="19"/>
    <m/>
    <m/>
    <n v="7848"/>
  </r>
  <r>
    <x v="463"/>
    <n v="221.64"/>
    <x v="8"/>
    <x v="3"/>
    <s v="Kinnistute, hoonete ja ruumide majandamiskulud"/>
    <s v="2"/>
    <x v="1"/>
    <m/>
    <m/>
    <s v="62"/>
    <s v="Laekvere Rahvamaja"/>
    <x v="88"/>
    <x v="2"/>
    <x v="87"/>
    <s v=""/>
    <s v=""/>
    <x v="4"/>
    <x v="19"/>
    <m/>
    <m/>
    <n v="221.64"/>
  </r>
  <r>
    <x v="168"/>
    <n v="360"/>
    <x v="7"/>
    <x v="3"/>
    <s v="Vesi ja kanalisatsioon"/>
    <s v="2"/>
    <x v="1"/>
    <m/>
    <m/>
    <s v="62"/>
    <s v="Laekvere Rahvamaja"/>
    <x v="88"/>
    <x v="2"/>
    <x v="87"/>
    <s v=""/>
    <s v=""/>
    <x v="4"/>
    <x v="19"/>
    <m/>
    <m/>
    <n v="360"/>
  </r>
  <r>
    <x v="190"/>
    <n v="240"/>
    <x v="7"/>
    <x v="3"/>
    <s v="Vesi ja kanalisatsioon"/>
    <s v="2"/>
    <x v="1"/>
    <m/>
    <m/>
    <s v="62"/>
    <s v="Laekvere Rahvamaja"/>
    <x v="88"/>
    <x v="2"/>
    <x v="87"/>
    <s v=""/>
    <s v=""/>
    <x v="4"/>
    <x v="19"/>
    <m/>
    <m/>
    <n v="240"/>
  </r>
  <r>
    <x v="6"/>
    <n v="2880"/>
    <x v="6"/>
    <x v="3"/>
    <s v="Elekter"/>
    <s v="2"/>
    <x v="1"/>
    <m/>
    <m/>
    <s v="62"/>
    <s v="Laekvere Rahvamaja"/>
    <x v="88"/>
    <x v="2"/>
    <x v="87"/>
    <s v=""/>
    <s v=""/>
    <x v="4"/>
    <x v="19"/>
    <m/>
    <m/>
    <n v="2880"/>
  </r>
  <r>
    <x v="464"/>
    <n v="253.68"/>
    <x v="8"/>
    <x v="3"/>
    <s v="Kinnistute, hoonete ja ruumide majandamiskulud"/>
    <s v="2"/>
    <x v="1"/>
    <m/>
    <m/>
    <s v="62"/>
    <s v="Laekvere Rahvamaja"/>
    <x v="88"/>
    <x v="2"/>
    <x v="87"/>
    <s v=""/>
    <s v=""/>
    <x v="4"/>
    <x v="19"/>
    <m/>
    <m/>
    <n v="253.68"/>
  </r>
  <r>
    <x v="48"/>
    <n v="14400"/>
    <x v="5"/>
    <x v="3"/>
    <s v="Küte ja soojusenergia"/>
    <s v="2"/>
    <x v="1"/>
    <m/>
    <m/>
    <s v="62"/>
    <s v="Laekvere Rahvamaja"/>
    <x v="88"/>
    <x v="2"/>
    <x v="87"/>
    <s v=""/>
    <s v=""/>
    <x v="4"/>
    <x v="19"/>
    <m/>
    <m/>
    <n v="14400"/>
  </r>
  <r>
    <x v="465"/>
    <n v="100000"/>
    <x v="1"/>
    <x v="0"/>
    <s v="Hooned ja rajatised"/>
    <s v="4"/>
    <x v="0"/>
    <m/>
    <m/>
    <s v="215"/>
    <s v="Ehitusnõunik"/>
    <x v="88"/>
    <x v="2"/>
    <x v="87"/>
    <s v=""/>
    <s v=""/>
    <x v="1"/>
    <x v="19"/>
    <m/>
    <m/>
    <n v="100000"/>
  </r>
  <r>
    <x v="466"/>
    <n v="518.4"/>
    <x v="10"/>
    <x v="3"/>
    <s v="Info- ja kommunikatsioonitehnoloogia kulud"/>
    <s v="2"/>
    <x v="1"/>
    <m/>
    <m/>
    <s v="22"/>
    <s v="Majandusteenistus"/>
    <x v="89"/>
    <x v="7"/>
    <x v="88"/>
    <s v=""/>
    <s v=""/>
    <x v="4"/>
    <x v="33"/>
    <m/>
    <m/>
    <n v="518.4"/>
  </r>
  <r>
    <x v="97"/>
    <n v="1500"/>
    <x v="18"/>
    <x v="4"/>
    <s v="MAKSU-, LÕIVU-, TRAHVIKULUD"/>
    <s v="2"/>
    <x v="1"/>
    <m/>
    <m/>
    <s v="22"/>
    <s v="Majandusteenistus"/>
    <x v="90"/>
    <x v="6"/>
    <x v="89"/>
    <s v=""/>
    <s v=""/>
    <x v="5"/>
    <x v="34"/>
    <m/>
    <m/>
    <n v="1500"/>
  </r>
  <r>
    <x v="202"/>
    <n v="1500"/>
    <x v="28"/>
    <x v="3"/>
    <s v="Mitmesugused majanduskulud"/>
    <s v="2"/>
    <x v="1"/>
    <m/>
    <m/>
    <s v="22"/>
    <s v="Majandusteenistus"/>
    <x v="90"/>
    <x v="6"/>
    <x v="89"/>
    <s v=""/>
    <s v=""/>
    <x v="4"/>
    <x v="34"/>
    <m/>
    <m/>
    <n v="1500"/>
  </r>
  <r>
    <x v="467"/>
    <n v="2000"/>
    <x v="8"/>
    <x v="3"/>
    <s v="Kinnistute, hoonete ja ruumide majandamiskulud"/>
    <s v="2"/>
    <x v="1"/>
    <m/>
    <m/>
    <s v="22"/>
    <s v="Majandusteenistus"/>
    <x v="90"/>
    <x v="6"/>
    <x v="89"/>
    <s v=""/>
    <s v=""/>
    <x v="4"/>
    <x v="34"/>
    <m/>
    <m/>
    <n v="2000"/>
  </r>
  <r>
    <x v="468"/>
    <n v="100"/>
    <x v="9"/>
    <x v="3"/>
    <s v="Administreerimiskulud"/>
    <s v="2"/>
    <x v="1"/>
    <m/>
    <m/>
    <s v="22"/>
    <s v="Majandusteenistus"/>
    <x v="90"/>
    <x v="6"/>
    <x v="89"/>
    <s v=""/>
    <s v=""/>
    <x v="4"/>
    <x v="34"/>
    <m/>
    <m/>
    <n v="100"/>
  </r>
  <r>
    <x v="196"/>
    <n v="360"/>
    <x v="9"/>
    <x v="3"/>
    <s v="Administreerimiskulud"/>
    <s v="2"/>
    <x v="1"/>
    <m/>
    <m/>
    <s v="22"/>
    <s v="Majandusteenistus"/>
    <x v="90"/>
    <x v="6"/>
    <x v="89"/>
    <s v=""/>
    <s v=""/>
    <x v="4"/>
    <x v="34"/>
    <m/>
    <m/>
    <n v="360"/>
  </r>
  <r>
    <x v="469"/>
    <n v="3840"/>
    <x v="9"/>
    <x v="3"/>
    <s v="Administreerimiskulud"/>
    <s v="2"/>
    <x v="1"/>
    <m/>
    <m/>
    <s v="22"/>
    <s v="Majandusteenistus"/>
    <x v="90"/>
    <x v="6"/>
    <x v="89"/>
    <s v=""/>
    <s v=""/>
    <x v="4"/>
    <x v="34"/>
    <m/>
    <m/>
    <n v="3840"/>
  </r>
  <r>
    <x v="470"/>
    <n v="1750"/>
    <x v="31"/>
    <x v="3"/>
    <s v="Koolituskulud (sh koolituslähetus)"/>
    <s v="2"/>
    <x v="1"/>
    <m/>
    <m/>
    <s v="22"/>
    <s v="Majandusteenistus"/>
    <x v="90"/>
    <x v="6"/>
    <x v="89"/>
    <s v=""/>
    <s v=""/>
    <x v="4"/>
    <x v="34"/>
    <m/>
    <m/>
    <n v="1750"/>
  </r>
  <r>
    <x v="471"/>
    <n v="3000"/>
    <x v="2"/>
    <x v="1"/>
    <s v="Antud sihtfinantseerimine tegevuskuludeks"/>
    <s v="2"/>
    <x v="1"/>
    <m/>
    <m/>
    <s v="22"/>
    <s v="Majandusteenistus"/>
    <x v="90"/>
    <x v="6"/>
    <x v="89"/>
    <s v=""/>
    <s v=""/>
    <x v="2"/>
    <x v="34"/>
    <m/>
    <m/>
    <n v="3000"/>
  </r>
  <r>
    <x v="472"/>
    <n v="3000"/>
    <x v="2"/>
    <x v="1"/>
    <s v="Antud sihtfinantseerimine tegevuskuludeks"/>
    <s v="2"/>
    <x v="1"/>
    <m/>
    <m/>
    <s v="22"/>
    <s v="Majandusteenistus"/>
    <x v="90"/>
    <x v="6"/>
    <x v="89"/>
    <s v=""/>
    <s v=""/>
    <x v="2"/>
    <x v="34"/>
    <m/>
    <m/>
    <n v="3000"/>
  </r>
  <r>
    <x v="4"/>
    <n v="35490"/>
    <x v="4"/>
    <x v="2"/>
    <s v="Tööjõukuludega kaasnevad maksud ja sotsiaalkindlustusmaksed"/>
    <s v="2"/>
    <x v="1"/>
    <m/>
    <m/>
    <s v="22"/>
    <s v="Majandusteenistus"/>
    <x v="90"/>
    <x v="6"/>
    <x v="89"/>
    <s v=""/>
    <s v=""/>
    <x v="3"/>
    <x v="34"/>
    <m/>
    <m/>
    <n v="35490"/>
  </r>
  <r>
    <x v="473"/>
    <n v="22800"/>
    <x v="21"/>
    <x v="2"/>
    <s v=" Avaliku teenistuse ametnike töötasu"/>
    <s v="2"/>
    <x v="1"/>
    <m/>
    <m/>
    <s v="22"/>
    <s v="Majandusteenistus"/>
    <x v="90"/>
    <x v="6"/>
    <x v="89"/>
    <s v=""/>
    <s v=""/>
    <x v="3"/>
    <x v="34"/>
    <m/>
    <m/>
    <n v="22800"/>
  </r>
  <r>
    <x v="474"/>
    <n v="19200"/>
    <x v="21"/>
    <x v="2"/>
    <s v=" Avaliku teenistuse ametnike töötasu"/>
    <s v="2"/>
    <x v="1"/>
    <m/>
    <m/>
    <s v="22"/>
    <s v="Majandusteenistus"/>
    <x v="90"/>
    <x v="6"/>
    <x v="89"/>
    <s v=""/>
    <s v=""/>
    <x v="3"/>
    <x v="34"/>
    <m/>
    <m/>
    <n v="19200"/>
  </r>
  <r>
    <x v="475"/>
    <n v="21000"/>
    <x v="21"/>
    <x v="2"/>
    <s v=" Avaliku teenistuse ametnike töötasu"/>
    <s v="2"/>
    <x v="1"/>
    <m/>
    <m/>
    <s v="22"/>
    <s v="Majandusteenistus"/>
    <x v="90"/>
    <x v="6"/>
    <x v="89"/>
    <s v=""/>
    <s v=""/>
    <x v="3"/>
    <x v="34"/>
    <m/>
    <m/>
    <n v="21000"/>
  </r>
  <r>
    <x v="476"/>
    <n v="21000"/>
    <x v="21"/>
    <x v="2"/>
    <s v=" Avaliku teenistuse ametnike töötasu"/>
    <s v="2"/>
    <x v="1"/>
    <m/>
    <m/>
    <s v="22"/>
    <s v="Majandusteenistus"/>
    <x v="90"/>
    <x v="6"/>
    <x v="89"/>
    <s v=""/>
    <s v=""/>
    <x v="3"/>
    <x v="34"/>
    <m/>
    <m/>
    <n v="21000"/>
  </r>
  <r>
    <x v="477"/>
    <n v="21000"/>
    <x v="21"/>
    <x v="2"/>
    <s v=" Avaliku teenistuse ametnike töötasu"/>
    <s v="2"/>
    <x v="1"/>
    <m/>
    <m/>
    <s v="22"/>
    <s v="Majandusteenistus"/>
    <x v="90"/>
    <x v="6"/>
    <x v="89"/>
    <s v=""/>
    <s v=""/>
    <x v="3"/>
    <x v="34"/>
    <m/>
    <m/>
    <n v="21000"/>
  </r>
  <r>
    <x v="202"/>
    <n v="500"/>
    <x v="28"/>
    <x v="3"/>
    <s v="Mitmesugused majanduskulud"/>
    <s v="2"/>
    <x v="1"/>
    <m/>
    <m/>
    <s v="22"/>
    <s v="Majandusteenistus"/>
    <x v="90"/>
    <x v="6"/>
    <x v="89"/>
    <s v=""/>
    <s v=""/>
    <x v="4"/>
    <x v="34"/>
    <m/>
    <m/>
    <n v="500"/>
  </r>
  <r>
    <x v="478"/>
    <n v="1800"/>
    <x v="14"/>
    <x v="3"/>
    <s v="Isikliku sõiduauto kompensatsioon"/>
    <s v="2"/>
    <x v="1"/>
    <m/>
    <m/>
    <s v="22"/>
    <s v="Majandusteenistus"/>
    <x v="90"/>
    <x v="6"/>
    <x v="89"/>
    <s v=""/>
    <s v=""/>
    <x v="4"/>
    <x v="34"/>
    <m/>
    <m/>
    <n v="1800"/>
  </r>
  <r>
    <x v="479"/>
    <n v="1800"/>
    <x v="14"/>
    <x v="3"/>
    <s v="Isikliku sõiduauto kompensatsioon"/>
    <s v="2"/>
    <x v="1"/>
    <m/>
    <m/>
    <s v="22"/>
    <s v="Majandusteenistus"/>
    <x v="90"/>
    <x v="6"/>
    <x v="89"/>
    <s v=""/>
    <s v=""/>
    <x v="4"/>
    <x v="34"/>
    <m/>
    <m/>
    <n v="1800"/>
  </r>
  <r>
    <x v="480"/>
    <n v="1800"/>
    <x v="14"/>
    <x v="3"/>
    <s v="Isikliku sõiduauto kompensatsioon"/>
    <s v="2"/>
    <x v="1"/>
    <m/>
    <m/>
    <s v="22"/>
    <s v="Majandusteenistus"/>
    <x v="90"/>
    <x v="6"/>
    <x v="89"/>
    <s v=""/>
    <s v=""/>
    <x v="4"/>
    <x v="34"/>
    <m/>
    <m/>
    <n v="1800"/>
  </r>
  <r>
    <x v="481"/>
    <n v="1800"/>
    <x v="14"/>
    <x v="3"/>
    <s v="Isikliku sõiduauto kompensatsioon"/>
    <s v="2"/>
    <x v="1"/>
    <m/>
    <m/>
    <s v="22"/>
    <s v="Majandusteenistus"/>
    <x v="90"/>
    <x v="6"/>
    <x v="89"/>
    <s v=""/>
    <s v=""/>
    <x v="4"/>
    <x v="34"/>
    <m/>
    <m/>
    <n v="1800"/>
  </r>
  <r>
    <x v="482"/>
    <n v="4020"/>
    <x v="14"/>
    <x v="3"/>
    <s v="Isikliku sõiduauto kompensatsioon"/>
    <s v="2"/>
    <x v="1"/>
    <m/>
    <m/>
    <s v="22"/>
    <s v="Majandusteenistus"/>
    <x v="90"/>
    <x v="6"/>
    <x v="89"/>
    <s v=""/>
    <s v=""/>
    <x v="4"/>
    <x v="34"/>
    <m/>
    <m/>
    <n v="4020"/>
  </r>
  <r>
    <x v="483"/>
    <n v="15000"/>
    <x v="45"/>
    <x v="1"/>
    <s v="Antud sihtfinantseerimine põhivara soetuseks"/>
    <s v="4"/>
    <x v="0"/>
    <m/>
    <m/>
    <s v="22"/>
    <s v="Majandusteenistus"/>
    <x v="90"/>
    <x v="6"/>
    <x v="89"/>
    <s v=""/>
    <s v=""/>
    <x v="10"/>
    <x v="34"/>
    <m/>
    <m/>
    <n v="15000"/>
  </r>
  <r>
    <x v="484"/>
    <n v="125000"/>
    <x v="45"/>
    <x v="1"/>
    <s v="Antud sihtfinantseerimine põhivara soetuseks"/>
    <s v="4"/>
    <x v="0"/>
    <m/>
    <m/>
    <s v="22"/>
    <s v="Majandusteenistus"/>
    <x v="90"/>
    <x v="6"/>
    <x v="89"/>
    <s v=""/>
    <s v=""/>
    <x v="10"/>
    <x v="34"/>
    <m/>
    <m/>
    <n v="125000"/>
  </r>
  <r>
    <x v="485"/>
    <n v="2400"/>
    <x v="2"/>
    <x v="1"/>
    <s v="Antud sihtfinantseerimine tegevuskuludeks"/>
    <s v="2"/>
    <x v="1"/>
    <m/>
    <m/>
    <s v="24"/>
    <s v="Sotsiaalteenistus"/>
    <x v="91"/>
    <x v="9"/>
    <x v="90"/>
    <s v=""/>
    <s v=""/>
    <x v="2"/>
    <x v="35"/>
    <m/>
    <m/>
    <n v="2400"/>
  </r>
  <r>
    <x v="486"/>
    <n v="2000"/>
    <x v="28"/>
    <x v="3"/>
    <s v="Mitmesugused majanduskulud"/>
    <s v="2"/>
    <x v="1"/>
    <m/>
    <m/>
    <s v="24"/>
    <s v="Sotsiaalteenistus"/>
    <x v="91"/>
    <x v="9"/>
    <x v="90"/>
    <s v=""/>
    <s v=""/>
    <x v="4"/>
    <x v="35"/>
    <m/>
    <m/>
    <n v="2000"/>
  </r>
  <r>
    <x v="487"/>
    <n v="2500"/>
    <x v="19"/>
    <x v="1"/>
    <s v="Liikmemaksud"/>
    <s v="2"/>
    <x v="1"/>
    <m/>
    <m/>
    <s v="24"/>
    <s v="Sotsiaalteenistus"/>
    <x v="91"/>
    <x v="9"/>
    <x v="90"/>
    <s v=""/>
    <s v=""/>
    <x v="6"/>
    <x v="35"/>
    <m/>
    <m/>
    <n v="2500"/>
  </r>
  <r>
    <x v="488"/>
    <n v="29729"/>
    <x v="46"/>
    <x v="1"/>
    <s v="Kodumaine sihtfinantseerimine põhivara soetuseks"/>
    <s v="4"/>
    <x v="0"/>
    <m/>
    <m/>
    <s v="24"/>
    <s v="Sotsiaalteenistus"/>
    <x v="91"/>
    <x v="9"/>
    <x v="90"/>
    <s v=""/>
    <s v=""/>
    <x v="10"/>
    <x v="35"/>
    <m/>
    <m/>
    <n v="29729"/>
  </r>
  <r>
    <x v="61"/>
    <n v="550"/>
    <x v="14"/>
    <x v="3"/>
    <s v="Isikliku sõiduauto kompensatsioon"/>
    <s v="2"/>
    <x v="1"/>
    <m/>
    <m/>
    <s v="212"/>
    <s v="kultuuri-ja avalike suhete nõunik"/>
    <x v="92"/>
    <x v="2"/>
    <x v="91"/>
    <s v=""/>
    <s v=""/>
    <x v="4"/>
    <x v="36"/>
    <m/>
    <m/>
    <n v="550"/>
  </r>
  <r>
    <x v="4"/>
    <n v="7098"/>
    <x v="4"/>
    <x v="2"/>
    <s v="Tööjõukuludega kaasnevad maksud ja sotsiaalkindlustusmaksed"/>
    <s v="2"/>
    <x v="1"/>
    <m/>
    <m/>
    <s v="212"/>
    <s v="kultuuri-ja avalike suhete nõunik"/>
    <x v="92"/>
    <x v="2"/>
    <x v="91"/>
    <s v=""/>
    <s v=""/>
    <x v="3"/>
    <x v="36"/>
    <m/>
    <m/>
    <n v="7098"/>
  </r>
  <r>
    <x v="489"/>
    <n v="21000"/>
    <x v="21"/>
    <x v="2"/>
    <s v=" Avaliku teenistuse ametnike töötasu"/>
    <s v="2"/>
    <x v="1"/>
    <m/>
    <m/>
    <s v="212"/>
    <s v="kultuuri-ja avalike suhete nõunik"/>
    <x v="92"/>
    <x v="2"/>
    <x v="91"/>
    <s v=""/>
    <s v=""/>
    <x v="3"/>
    <x v="36"/>
    <m/>
    <m/>
    <n v="21000"/>
  </r>
  <r>
    <x v="490"/>
    <n v="46632"/>
    <x v="23"/>
    <x v="3"/>
    <s v="Sotsiaalteenused"/>
    <s v="2"/>
    <x v="1"/>
    <m/>
    <m/>
    <s v="24"/>
    <s v="Sotsiaalteenistus"/>
    <x v="93"/>
    <x v="4"/>
    <x v="22"/>
    <s v=""/>
    <s v=""/>
    <x v="4"/>
    <x v="37"/>
    <m/>
    <m/>
    <n v="46632"/>
  </r>
  <r>
    <x v="491"/>
    <n v="24060"/>
    <x v="23"/>
    <x v="3"/>
    <s v="Sotsiaalteenused"/>
    <s v="2"/>
    <x v="1"/>
    <m/>
    <m/>
    <s v="24"/>
    <s v="Sotsiaalteenistus"/>
    <x v="93"/>
    <x v="4"/>
    <x v="22"/>
    <s v=""/>
    <s v=""/>
    <x v="4"/>
    <x v="37"/>
    <m/>
    <m/>
    <n v="24060"/>
  </r>
  <r>
    <x v="492"/>
    <n v="21600"/>
    <x v="23"/>
    <x v="3"/>
    <s v="Sotsiaalteenused"/>
    <s v="2"/>
    <x v="1"/>
    <m/>
    <m/>
    <s v="24"/>
    <s v="Sotsiaalteenistus"/>
    <x v="93"/>
    <x v="4"/>
    <x v="22"/>
    <s v=""/>
    <s v=""/>
    <x v="4"/>
    <x v="37"/>
    <m/>
    <m/>
    <n v="21600"/>
  </r>
  <r>
    <x v="493"/>
    <n v="49248"/>
    <x v="23"/>
    <x v="3"/>
    <s v="Sotsiaalteenused"/>
    <s v="2"/>
    <x v="1"/>
    <m/>
    <m/>
    <s v="24"/>
    <s v="Sotsiaalteenistus"/>
    <x v="93"/>
    <x v="4"/>
    <x v="22"/>
    <s v=""/>
    <s v=""/>
    <x v="4"/>
    <x v="37"/>
    <m/>
    <m/>
    <n v="49248"/>
  </r>
  <r>
    <x v="494"/>
    <n v="12000"/>
    <x v="24"/>
    <x v="5"/>
    <s v="Peretoetused"/>
    <s v="2"/>
    <x v="1"/>
    <m/>
    <m/>
    <s v="24"/>
    <s v="Sotsiaalteenistus"/>
    <x v="93"/>
    <x v="4"/>
    <x v="22"/>
    <s v=""/>
    <s v=""/>
    <x v="7"/>
    <x v="37"/>
    <m/>
    <m/>
    <n v="12000"/>
  </r>
  <r>
    <x v="4"/>
    <n v="3569.28"/>
    <x v="4"/>
    <x v="2"/>
    <s v="Tööjõukuludega kaasnevad maksud ja sotsiaalkindlustusmaksed"/>
    <s v="2"/>
    <x v="1"/>
    <m/>
    <m/>
    <s v="24"/>
    <s v="Sotsiaalteenistus"/>
    <x v="93"/>
    <x v="4"/>
    <x v="22"/>
    <s v=""/>
    <s v=""/>
    <x v="3"/>
    <x v="37"/>
    <m/>
    <m/>
    <n v="3569.28"/>
  </r>
  <r>
    <x v="495"/>
    <n v="6600"/>
    <x v="17"/>
    <x v="2"/>
    <s v="Töötasud võlaõiguslike lepingute alusel"/>
    <s v="2"/>
    <x v="1"/>
    <m/>
    <m/>
    <s v="24"/>
    <s v="Sotsiaalteenistus"/>
    <x v="93"/>
    <x v="4"/>
    <x v="22"/>
    <s v=""/>
    <s v=""/>
    <x v="3"/>
    <x v="37"/>
    <m/>
    <m/>
    <n v="6600"/>
  </r>
  <r>
    <x v="496"/>
    <n v="3960"/>
    <x v="17"/>
    <x v="2"/>
    <s v="Töötasud võlaõiguslike lepingute alusel"/>
    <s v="2"/>
    <x v="1"/>
    <m/>
    <m/>
    <s v="24"/>
    <s v="Sotsiaalteenistus"/>
    <x v="93"/>
    <x v="4"/>
    <x v="22"/>
    <s v=""/>
    <s v=""/>
    <x v="3"/>
    <x v="37"/>
    <m/>
    <m/>
    <n v="3960"/>
  </r>
  <r>
    <x v="173"/>
    <n v="972"/>
    <x v="9"/>
    <x v="3"/>
    <s v="Administreerimiskulud"/>
    <s v="2"/>
    <x v="1"/>
    <m/>
    <m/>
    <s v="71"/>
    <s v="Muuga Spordihoone"/>
    <x v="94"/>
    <x v="2"/>
    <x v="92"/>
    <s v=""/>
    <s v=""/>
    <x v="4"/>
    <x v="13"/>
    <m/>
    <m/>
    <n v="972"/>
  </r>
  <r>
    <x v="6"/>
    <n v="14400"/>
    <x v="6"/>
    <x v="3"/>
    <s v="Elekter"/>
    <s v="2"/>
    <x v="1"/>
    <m/>
    <m/>
    <s v="71"/>
    <s v="Muuga Spordihoone"/>
    <x v="94"/>
    <x v="2"/>
    <x v="92"/>
    <s v=""/>
    <s v=""/>
    <x v="4"/>
    <x v="13"/>
    <m/>
    <m/>
    <n v="14400"/>
  </r>
  <r>
    <x v="168"/>
    <n v="600"/>
    <x v="7"/>
    <x v="3"/>
    <s v="Vesi ja kanalisatsioon"/>
    <s v="2"/>
    <x v="1"/>
    <m/>
    <m/>
    <s v="71"/>
    <s v="Muuga Spordihoone"/>
    <x v="94"/>
    <x v="2"/>
    <x v="92"/>
    <s v=""/>
    <s v=""/>
    <x v="4"/>
    <x v="13"/>
    <m/>
    <m/>
    <n v="600"/>
  </r>
  <r>
    <x v="61"/>
    <n v="660"/>
    <x v="14"/>
    <x v="3"/>
    <s v="Isikliku sõiduauto kompensatsioon"/>
    <s v="2"/>
    <x v="1"/>
    <m/>
    <m/>
    <s v="71"/>
    <s v="Muuga Spordihoone"/>
    <x v="94"/>
    <x v="2"/>
    <x v="92"/>
    <s v=""/>
    <s v=""/>
    <x v="4"/>
    <x v="13"/>
    <m/>
    <m/>
    <n v="660"/>
  </r>
  <r>
    <x v="13"/>
    <n v="8400"/>
    <x v="3"/>
    <x v="2"/>
    <s v="Töötajate töötasud"/>
    <s v="2"/>
    <x v="1"/>
    <m/>
    <m/>
    <s v="71"/>
    <s v="Muuga Spordihoone"/>
    <x v="94"/>
    <x v="2"/>
    <x v="92"/>
    <s v=""/>
    <s v=""/>
    <x v="3"/>
    <x v="13"/>
    <m/>
    <m/>
    <n v="8400"/>
  </r>
  <r>
    <x v="4"/>
    <n v="5491.82"/>
    <x v="4"/>
    <x v="2"/>
    <s v="Tööjõukuludega kaasnevad maksud ja sotsiaalkindlustusmaksed"/>
    <s v="2"/>
    <x v="1"/>
    <m/>
    <m/>
    <s v="71"/>
    <s v="Muuga Spordihoone"/>
    <x v="94"/>
    <x v="2"/>
    <x v="92"/>
    <s v=""/>
    <s v=""/>
    <x v="3"/>
    <x v="13"/>
    <m/>
    <m/>
    <n v="5491.82"/>
  </r>
  <r>
    <x v="17"/>
    <n v="7848"/>
    <x v="3"/>
    <x v="2"/>
    <s v="Töötajate töötasud"/>
    <s v="2"/>
    <x v="1"/>
    <m/>
    <m/>
    <s v="71"/>
    <s v="Muuga Spordihoone"/>
    <x v="94"/>
    <x v="2"/>
    <x v="92"/>
    <s v=""/>
    <s v=""/>
    <x v="3"/>
    <x v="13"/>
    <m/>
    <m/>
    <n v="7848"/>
  </r>
  <r>
    <x v="9"/>
    <n v="110.28"/>
    <x v="8"/>
    <x v="3"/>
    <s v="Kinnistute, hoonete ja ruumide majandamiskulud"/>
    <s v="2"/>
    <x v="1"/>
    <m/>
    <m/>
    <s v="71"/>
    <s v="Muuga Spordihoone"/>
    <x v="94"/>
    <x v="2"/>
    <x v="92"/>
    <s v=""/>
    <s v=""/>
    <x v="4"/>
    <x v="13"/>
    <m/>
    <m/>
    <n v="110.28"/>
  </r>
  <r>
    <x v="497"/>
    <n v="316.8"/>
    <x v="8"/>
    <x v="3"/>
    <s v="Kinnistute, hoonete ja ruumide majandamiskulud"/>
    <s v="2"/>
    <x v="1"/>
    <m/>
    <m/>
    <s v="71"/>
    <s v="Muuga Spordihoone"/>
    <x v="94"/>
    <x v="2"/>
    <x v="92"/>
    <s v=""/>
    <s v=""/>
    <x v="4"/>
    <x v="13"/>
    <m/>
    <m/>
    <n v="316.8"/>
  </r>
  <r>
    <x v="42"/>
    <n v="5083.2"/>
    <x v="17"/>
    <x v="2"/>
    <s v="Töötasud võlaõiguslike lepingute alusel"/>
    <s v="2"/>
    <x v="1"/>
    <m/>
    <m/>
    <s v="33"/>
    <s v="Pajusti Lasteaed"/>
    <x v="37"/>
    <x v="1"/>
    <x v="37"/>
    <s v=""/>
    <s v=""/>
    <x v="3"/>
    <x v="1"/>
    <m/>
    <m/>
    <n v="5083.2"/>
  </r>
  <r>
    <x v="7"/>
    <n v="750"/>
    <x v="7"/>
    <x v="3"/>
    <s v="Vesi ja kanalisatsioon"/>
    <s v="2"/>
    <x v="1"/>
    <m/>
    <m/>
    <s v="33"/>
    <s v="Pajusti Lasteaed"/>
    <x v="37"/>
    <x v="1"/>
    <x v="37"/>
    <s v=""/>
    <s v=""/>
    <x v="4"/>
    <x v="1"/>
    <m/>
    <m/>
    <n v="750"/>
  </r>
  <r>
    <x v="69"/>
    <n v="8867.0400000000009"/>
    <x v="16"/>
    <x v="3"/>
    <s v="Toiduained ja toitlustusteenused"/>
    <s v="2"/>
    <x v="1"/>
    <m/>
    <m/>
    <s v="33"/>
    <s v="Pajusti Lasteaed"/>
    <x v="37"/>
    <x v="1"/>
    <x v="37"/>
    <s v=""/>
    <s v=""/>
    <x v="4"/>
    <x v="1"/>
    <m/>
    <m/>
    <n v="8867.0400000000009"/>
  </r>
  <r>
    <x v="164"/>
    <n v="2200"/>
    <x v="14"/>
    <x v="3"/>
    <s v="Isikliku sõiduauto kompensatsioon"/>
    <s v="2"/>
    <x v="1"/>
    <m/>
    <m/>
    <s v="33"/>
    <s v="Pajusti Lasteaed"/>
    <x v="37"/>
    <x v="1"/>
    <x v="37"/>
    <s v=""/>
    <s v=""/>
    <x v="4"/>
    <x v="1"/>
    <m/>
    <m/>
    <n v="2200"/>
  </r>
  <r>
    <x v="17"/>
    <n v="7848"/>
    <x v="3"/>
    <x v="2"/>
    <s v="Töötajate töötasud"/>
    <s v="2"/>
    <x v="1"/>
    <m/>
    <m/>
    <s v="33"/>
    <s v="Pajusti Lasteaed"/>
    <x v="37"/>
    <x v="1"/>
    <x v="37"/>
    <s v=""/>
    <s v=""/>
    <x v="3"/>
    <x v="1"/>
    <m/>
    <m/>
    <n v="7848"/>
  </r>
  <r>
    <x v="498"/>
    <n v="1240.8"/>
    <x v="3"/>
    <x v="2"/>
    <s v="Töötajate töötasud"/>
    <s v="2"/>
    <x v="1"/>
    <m/>
    <m/>
    <s v="32"/>
    <s v="Kulina Lasteaed"/>
    <x v="36"/>
    <x v="1"/>
    <x v="36"/>
    <m/>
    <m/>
    <x v="3"/>
    <x v="1"/>
    <m/>
    <m/>
    <n v="1240.8"/>
  </r>
  <r>
    <x v="13"/>
    <n v="16596"/>
    <x v="3"/>
    <x v="2"/>
    <s v="Töötajate töötasud"/>
    <s v="2"/>
    <x v="1"/>
    <m/>
    <m/>
    <s v="33"/>
    <s v="Pajusti Lasteaed"/>
    <x v="37"/>
    <x v="1"/>
    <x v="37"/>
    <s v=""/>
    <s v=""/>
    <x v="3"/>
    <x v="1"/>
    <m/>
    <m/>
    <n v="16596"/>
  </r>
  <r>
    <x v="4"/>
    <n v="57180.07"/>
    <x v="4"/>
    <x v="2"/>
    <s v="Tööjõukuludega kaasnevad maksud ja sotsiaalkindlustusmaksed"/>
    <s v="2"/>
    <x v="1"/>
    <m/>
    <m/>
    <s v="33"/>
    <s v="Pajusti Lasteaed"/>
    <x v="37"/>
    <x v="1"/>
    <x v="37"/>
    <s v=""/>
    <s v=""/>
    <x v="3"/>
    <x v="1"/>
    <m/>
    <m/>
    <n v="57180.07"/>
  </r>
  <r>
    <x v="41"/>
    <n v="3924"/>
    <x v="3"/>
    <x v="2"/>
    <s v="Töötajate töötasud"/>
    <s v="2"/>
    <x v="1"/>
    <m/>
    <m/>
    <s v="33"/>
    <s v="Pajusti Lasteaed"/>
    <x v="37"/>
    <x v="1"/>
    <x v="37"/>
    <s v=""/>
    <s v=""/>
    <x v="3"/>
    <x v="1"/>
    <m/>
    <m/>
    <n v="3924"/>
  </r>
  <r>
    <x v="71"/>
    <n v="61008"/>
    <x v="3"/>
    <x v="2"/>
    <s v="Töötajate töötasud"/>
    <s v="2"/>
    <x v="1"/>
    <m/>
    <m/>
    <s v="33"/>
    <s v="Pajusti Lasteaed"/>
    <x v="37"/>
    <x v="1"/>
    <x v="37"/>
    <s v=""/>
    <s v=""/>
    <x v="3"/>
    <x v="1"/>
    <m/>
    <m/>
    <n v="61008"/>
  </r>
  <r>
    <x v="70"/>
    <n v="25272"/>
    <x v="3"/>
    <x v="2"/>
    <s v="Töötajate töötasud"/>
    <s v="2"/>
    <x v="1"/>
    <m/>
    <m/>
    <s v="33"/>
    <s v="Pajusti Lasteaed"/>
    <x v="37"/>
    <x v="1"/>
    <x v="37"/>
    <s v=""/>
    <s v=""/>
    <x v="3"/>
    <x v="1"/>
    <m/>
    <m/>
    <n v="25272"/>
  </r>
  <r>
    <x v="73"/>
    <n v="5996.4"/>
    <x v="3"/>
    <x v="2"/>
    <s v="Töötajate töötasud"/>
    <s v="2"/>
    <x v="1"/>
    <m/>
    <m/>
    <s v="33"/>
    <s v="Pajusti Lasteaed"/>
    <x v="37"/>
    <x v="1"/>
    <x v="37"/>
    <s v=""/>
    <s v=""/>
    <x v="3"/>
    <x v="1"/>
    <m/>
    <m/>
    <n v="5996.4"/>
  </r>
  <r>
    <x v="72"/>
    <n v="1197"/>
    <x v="17"/>
    <x v="2"/>
    <s v="Töötasud võlaõiguslike lepingute alusel"/>
    <s v="2"/>
    <x v="1"/>
    <m/>
    <m/>
    <s v="33"/>
    <s v="Pajusti Lasteaed"/>
    <x v="37"/>
    <x v="1"/>
    <x v="37"/>
    <s v=""/>
    <s v=""/>
    <x v="3"/>
    <x v="1"/>
    <m/>
    <m/>
    <n v="1197"/>
  </r>
  <r>
    <x v="71"/>
    <n v="33888"/>
    <x v="3"/>
    <x v="2"/>
    <s v="Töötajate töötasud"/>
    <s v="2"/>
    <x v="1"/>
    <m/>
    <m/>
    <s v="33"/>
    <s v="Pajusti Lasteaed"/>
    <x v="37"/>
    <x v="1"/>
    <x v="37"/>
    <s v=""/>
    <s v=""/>
    <x v="3"/>
    <x v="1"/>
    <m/>
    <m/>
    <n v="33888"/>
  </r>
  <r>
    <x v="499"/>
    <n v="221.64"/>
    <x v="8"/>
    <x v="3"/>
    <s v="Kinnistute, hoonete ja ruumide majandamiskulud"/>
    <s v="2"/>
    <x v="1"/>
    <m/>
    <m/>
    <s v="33"/>
    <s v="Pajusti Lasteaed"/>
    <x v="37"/>
    <x v="1"/>
    <x v="37"/>
    <s v=""/>
    <s v=""/>
    <x v="4"/>
    <x v="1"/>
    <m/>
    <m/>
    <n v="221.64"/>
  </r>
  <r>
    <x v="500"/>
    <n v="720"/>
    <x v="8"/>
    <x v="3"/>
    <s v="Kinnistute, hoonete ja ruumide majandamiskulud"/>
    <s v="2"/>
    <x v="1"/>
    <m/>
    <m/>
    <s v="33"/>
    <s v="Pajusti Lasteaed"/>
    <x v="37"/>
    <x v="1"/>
    <x v="37"/>
    <s v=""/>
    <s v=""/>
    <x v="4"/>
    <x v="1"/>
    <m/>
    <m/>
    <n v="720"/>
  </r>
  <r>
    <x v="278"/>
    <n v="660"/>
    <x v="8"/>
    <x v="3"/>
    <s v="Kinnistute, hoonete ja ruumide majandamiskulud"/>
    <s v="2"/>
    <x v="1"/>
    <m/>
    <m/>
    <s v="33"/>
    <s v="Pajusti Lasteaed"/>
    <x v="37"/>
    <x v="1"/>
    <x v="37"/>
    <s v=""/>
    <s v=""/>
    <x v="4"/>
    <x v="1"/>
    <m/>
    <m/>
    <n v="660"/>
  </r>
  <r>
    <x v="77"/>
    <n v="425"/>
    <x v="10"/>
    <x v="3"/>
    <s v="Info- ja kommunikatsioonitehnoloogia kulud"/>
    <s v="2"/>
    <x v="1"/>
    <m/>
    <m/>
    <s v="33"/>
    <s v="Pajusti Lasteaed"/>
    <x v="37"/>
    <x v="1"/>
    <x v="37"/>
    <s v=""/>
    <s v=""/>
    <x v="4"/>
    <x v="1"/>
    <m/>
    <m/>
    <n v="425"/>
  </r>
  <r>
    <x v="8"/>
    <n v="135"/>
    <x v="8"/>
    <x v="3"/>
    <s v="Kinnistute, hoonete ja ruumide majandamiskulud"/>
    <s v="2"/>
    <x v="1"/>
    <m/>
    <m/>
    <s v="33"/>
    <s v="Pajusti Lasteaed"/>
    <x v="37"/>
    <x v="1"/>
    <x v="37"/>
    <s v=""/>
    <s v=""/>
    <x v="4"/>
    <x v="1"/>
    <m/>
    <m/>
    <n v="135"/>
  </r>
  <r>
    <x v="48"/>
    <n v="6480"/>
    <x v="5"/>
    <x v="3"/>
    <s v="Küte ja soojusenergia"/>
    <s v="2"/>
    <x v="1"/>
    <m/>
    <m/>
    <s v="33"/>
    <s v="Pajusti Lasteaed"/>
    <x v="37"/>
    <x v="1"/>
    <x v="37"/>
    <s v=""/>
    <s v=""/>
    <x v="4"/>
    <x v="1"/>
    <m/>
    <m/>
    <n v="6480"/>
  </r>
  <r>
    <x v="9"/>
    <n v="46.2"/>
    <x v="8"/>
    <x v="3"/>
    <s v="Kinnistute, hoonete ja ruumide majandamiskulud"/>
    <s v="2"/>
    <x v="1"/>
    <m/>
    <m/>
    <s v="33"/>
    <s v="Pajusti Lasteaed"/>
    <x v="37"/>
    <x v="1"/>
    <x v="37"/>
    <s v=""/>
    <s v=""/>
    <x v="4"/>
    <x v="1"/>
    <m/>
    <m/>
    <n v="46.2"/>
  </r>
  <r>
    <x v="6"/>
    <n v="2520"/>
    <x v="6"/>
    <x v="3"/>
    <s v="Elekter"/>
    <s v="2"/>
    <x v="1"/>
    <m/>
    <m/>
    <s v="33"/>
    <s v="Pajusti Lasteaed"/>
    <x v="37"/>
    <x v="1"/>
    <x v="37"/>
    <s v=""/>
    <s v=""/>
    <x v="4"/>
    <x v="1"/>
    <m/>
    <m/>
    <n v="2520"/>
  </r>
  <r>
    <x v="501"/>
    <n v="80000"/>
    <x v="1"/>
    <x v="0"/>
    <s v="Hooned ja rajatised"/>
    <s v="4"/>
    <x v="0"/>
    <m/>
    <m/>
    <s v="215"/>
    <s v="Ehitusnõunik"/>
    <x v="37"/>
    <x v="1"/>
    <x v="37"/>
    <s v=""/>
    <s v=""/>
    <x v="1"/>
    <x v="1"/>
    <m/>
    <m/>
    <n v="80000"/>
  </r>
  <r>
    <x v="61"/>
    <n v="352"/>
    <x v="14"/>
    <x v="3"/>
    <s v="Isikliku sõiduauto kompensatsioon"/>
    <s v="2"/>
    <x v="1"/>
    <m/>
    <m/>
    <s v="43"/>
    <s v="Roela kool"/>
    <x v="95"/>
    <x v="1"/>
    <x v="93"/>
    <s v=""/>
    <s v=""/>
    <x v="4"/>
    <x v="38"/>
    <m/>
    <m/>
    <n v="352"/>
  </r>
  <r>
    <x v="4"/>
    <n v="7706.4"/>
    <x v="4"/>
    <x v="2"/>
    <s v="Tööjõukuludega kaasnevad maksud ja sotsiaalkindlustusmaksed"/>
    <s v="2"/>
    <x v="1"/>
    <m/>
    <m/>
    <s v="43"/>
    <s v="Roela kool"/>
    <x v="95"/>
    <x v="1"/>
    <x v="93"/>
    <s v=""/>
    <s v=""/>
    <x v="3"/>
    <x v="38"/>
    <m/>
    <m/>
    <n v="7706.4"/>
  </r>
  <r>
    <x v="502"/>
    <n v="10620"/>
    <x v="3"/>
    <x v="2"/>
    <s v="Töötajate töötasud"/>
    <s v="2"/>
    <x v="1"/>
    <m/>
    <m/>
    <s v="43"/>
    <s v="Roela kool"/>
    <x v="95"/>
    <x v="1"/>
    <x v="93"/>
    <s v=""/>
    <s v=""/>
    <x v="3"/>
    <x v="38"/>
    <m/>
    <m/>
    <n v="10620"/>
  </r>
  <r>
    <x v="503"/>
    <n v="12180"/>
    <x v="3"/>
    <x v="2"/>
    <s v="Töötajate töötasud"/>
    <s v="2"/>
    <x v="1"/>
    <m/>
    <m/>
    <s v="43"/>
    <s v="Roela kool"/>
    <x v="95"/>
    <x v="1"/>
    <x v="93"/>
    <s v=""/>
    <s v=""/>
    <x v="3"/>
    <x v="38"/>
    <m/>
    <m/>
    <n v="12180"/>
  </r>
  <r>
    <x v="504"/>
    <n v="3600"/>
    <x v="8"/>
    <x v="3"/>
    <s v="Kinnistute, hoonete ja ruumide majandamiskulud"/>
    <s v="2"/>
    <x v="1"/>
    <m/>
    <m/>
    <s v="43"/>
    <s v="Roela kool"/>
    <x v="95"/>
    <x v="1"/>
    <x v="93"/>
    <s v=""/>
    <s v=""/>
    <x v="4"/>
    <x v="38"/>
    <m/>
    <m/>
    <n v="3600"/>
  </r>
  <r>
    <x v="6"/>
    <n v="1500"/>
    <x v="6"/>
    <x v="3"/>
    <s v="Elekter"/>
    <s v="2"/>
    <x v="1"/>
    <m/>
    <m/>
    <s v="43"/>
    <s v="Roela kool"/>
    <x v="95"/>
    <x v="1"/>
    <x v="93"/>
    <s v=""/>
    <s v=""/>
    <x v="4"/>
    <x v="38"/>
    <m/>
    <m/>
    <n v="1500"/>
  </r>
  <r>
    <x v="150"/>
    <n v="240"/>
    <x v="8"/>
    <x v="3"/>
    <s v="Kinnistute, hoonete ja ruumide majandamiskulud"/>
    <s v="2"/>
    <x v="1"/>
    <m/>
    <m/>
    <s v="43"/>
    <s v="Roela kool"/>
    <x v="95"/>
    <x v="1"/>
    <x v="93"/>
    <s v=""/>
    <s v=""/>
    <x v="4"/>
    <x v="38"/>
    <m/>
    <m/>
    <n v="240"/>
  </r>
  <r>
    <x v="505"/>
    <n v="834"/>
    <x v="10"/>
    <x v="3"/>
    <s v="Info- ja kommunikatsioonitehnoloogia kulud"/>
    <s v="2"/>
    <x v="1"/>
    <m/>
    <m/>
    <s v="214"/>
    <s v="IT-spetsialist"/>
    <x v="96"/>
    <x v="6"/>
    <x v="94"/>
    <s v=""/>
    <s v=""/>
    <x v="4"/>
    <x v="39"/>
    <m/>
    <m/>
    <n v="834"/>
  </r>
  <r>
    <x v="506"/>
    <n v="835.2"/>
    <x v="10"/>
    <x v="3"/>
    <s v="Info- ja kommunikatsioonitehnoloogia kulud"/>
    <s v="2"/>
    <x v="1"/>
    <m/>
    <m/>
    <s v="214"/>
    <s v="IT-spetsialist"/>
    <x v="96"/>
    <x v="6"/>
    <x v="94"/>
    <s v=""/>
    <s v=""/>
    <x v="4"/>
    <x v="39"/>
    <m/>
    <m/>
    <n v="835.2"/>
  </r>
  <r>
    <x v="61"/>
    <n v="4020"/>
    <x v="14"/>
    <x v="3"/>
    <s v="Isikliku sõiduauto kompensatsioon"/>
    <s v="2"/>
    <x v="1"/>
    <m/>
    <m/>
    <s v="214"/>
    <s v="IT-spetsialist"/>
    <x v="96"/>
    <x v="6"/>
    <x v="94"/>
    <s v=""/>
    <s v=""/>
    <x v="4"/>
    <x v="39"/>
    <m/>
    <m/>
    <n v="4020"/>
  </r>
  <r>
    <x v="507"/>
    <n v="180"/>
    <x v="9"/>
    <x v="3"/>
    <s v="Administreerimiskulud"/>
    <s v="2"/>
    <x v="1"/>
    <m/>
    <m/>
    <s v="214"/>
    <s v="IT-spetsialist"/>
    <x v="96"/>
    <x v="6"/>
    <x v="94"/>
    <s v=""/>
    <s v=""/>
    <x v="4"/>
    <x v="39"/>
    <m/>
    <m/>
    <n v="180"/>
  </r>
  <r>
    <x v="508"/>
    <n v="91.2"/>
    <x v="10"/>
    <x v="3"/>
    <s v="Info- ja kommunikatsioonitehnoloogia kulud"/>
    <s v="2"/>
    <x v="1"/>
    <m/>
    <m/>
    <s v="214"/>
    <s v="IT-spetsialist"/>
    <x v="96"/>
    <x v="6"/>
    <x v="94"/>
    <s v=""/>
    <s v=""/>
    <x v="4"/>
    <x v="39"/>
    <m/>
    <m/>
    <n v="91.2"/>
  </r>
  <r>
    <x v="509"/>
    <n v="2131.1999999999998"/>
    <x v="10"/>
    <x v="3"/>
    <s v="Info- ja kommunikatsioonitehnoloogia kulud"/>
    <s v="2"/>
    <x v="1"/>
    <m/>
    <m/>
    <s v="214"/>
    <s v="IT-spetsialist"/>
    <x v="96"/>
    <x v="6"/>
    <x v="94"/>
    <s v=""/>
    <s v=""/>
    <x v="4"/>
    <x v="39"/>
    <m/>
    <m/>
    <n v="2131.1999999999998"/>
  </r>
  <r>
    <x v="4"/>
    <n v="7098"/>
    <x v="4"/>
    <x v="2"/>
    <s v="Tööjõukuludega kaasnevad maksud ja sotsiaalkindlustusmaksed"/>
    <s v="2"/>
    <x v="1"/>
    <m/>
    <m/>
    <s v="214"/>
    <s v="IT-spetsialist"/>
    <x v="96"/>
    <x v="6"/>
    <x v="94"/>
    <s v=""/>
    <s v=""/>
    <x v="3"/>
    <x v="39"/>
    <m/>
    <m/>
    <n v="7098"/>
  </r>
  <r>
    <x v="510"/>
    <n v="21000"/>
    <x v="21"/>
    <x v="2"/>
    <s v=" Avaliku teenistuse ametnike töötasu"/>
    <s v="2"/>
    <x v="1"/>
    <m/>
    <m/>
    <s v="214"/>
    <s v="IT-spetsialist"/>
    <x v="96"/>
    <x v="6"/>
    <x v="94"/>
    <s v=""/>
    <s v=""/>
    <x v="3"/>
    <x v="39"/>
    <m/>
    <m/>
    <n v="21000"/>
  </r>
  <r>
    <x v="511"/>
    <n v="3885"/>
    <x v="10"/>
    <x v="3"/>
    <s v="Info- ja kommunikatsioonitehnoloogia kulud"/>
    <s v="2"/>
    <x v="1"/>
    <m/>
    <m/>
    <s v="214"/>
    <s v="IT-spetsialist"/>
    <x v="96"/>
    <x v="6"/>
    <x v="94"/>
    <s v=""/>
    <s v=""/>
    <x v="4"/>
    <x v="39"/>
    <m/>
    <m/>
    <n v="3885"/>
  </r>
  <r>
    <x v="512"/>
    <n v="2625"/>
    <x v="10"/>
    <x v="3"/>
    <s v="Info- ja kommunikatsioonitehnoloogia kulud"/>
    <s v="2"/>
    <x v="1"/>
    <m/>
    <m/>
    <s v="214"/>
    <s v="IT-spetsialist"/>
    <x v="96"/>
    <x v="6"/>
    <x v="94"/>
    <s v=""/>
    <s v=""/>
    <x v="4"/>
    <x v="39"/>
    <m/>
    <m/>
    <n v="2625"/>
  </r>
  <r>
    <x v="513"/>
    <n v="3000"/>
    <x v="25"/>
    <x v="3"/>
    <s v="Kommunikatsiooni-, kultuuri- ja vaba aja sisustamise kulud"/>
    <s v="2"/>
    <x v="1"/>
    <m/>
    <m/>
    <s v="1"/>
    <s v="Valla- ja linnavolikogu"/>
    <x v="97"/>
    <x v="5"/>
    <x v="95"/>
    <s v=""/>
    <s v=""/>
    <x v="4"/>
    <x v="40"/>
    <m/>
    <m/>
    <n v="3000"/>
  </r>
  <r>
    <x v="514"/>
    <n v="327.36"/>
    <x v="21"/>
    <x v="2"/>
    <s v=" Avaliku teenistuse ametnike töötasu"/>
    <s v="2"/>
    <x v="1"/>
    <m/>
    <m/>
    <s v="1"/>
    <s v="Valla- ja linnavolikogu"/>
    <x v="97"/>
    <x v="5"/>
    <x v="95"/>
    <s v=""/>
    <s v=""/>
    <x v="3"/>
    <x v="40"/>
    <m/>
    <m/>
    <n v="327.36"/>
  </r>
  <r>
    <x v="197"/>
    <n v="3000"/>
    <x v="31"/>
    <x v="3"/>
    <s v="Koolituskulud (sh koolituslähetus)"/>
    <s v="2"/>
    <x v="1"/>
    <m/>
    <m/>
    <s v="1"/>
    <s v="Valla- ja linnavolikogu"/>
    <x v="97"/>
    <x v="5"/>
    <x v="95"/>
    <s v=""/>
    <s v=""/>
    <x v="4"/>
    <x v="40"/>
    <m/>
    <m/>
    <n v="3000"/>
  </r>
  <r>
    <x v="4"/>
    <n v="12770.44"/>
    <x v="4"/>
    <x v="2"/>
    <s v="Tööjõukuludega kaasnevad maksud ja sotsiaalkindlustusmaksed"/>
    <s v="2"/>
    <x v="1"/>
    <m/>
    <m/>
    <s v="1"/>
    <s v="Valla- ja linnavolikogu"/>
    <x v="97"/>
    <x v="5"/>
    <x v="95"/>
    <s v=""/>
    <s v=""/>
    <x v="3"/>
    <x v="40"/>
    <m/>
    <m/>
    <n v="12770.44"/>
  </r>
  <r>
    <x v="515"/>
    <n v="8855"/>
    <x v="20"/>
    <x v="2"/>
    <s v="Valitavate ametnike ja kõrgemate riigiteenijate töötasu"/>
    <s v="2"/>
    <x v="1"/>
    <m/>
    <m/>
    <s v="1"/>
    <s v="Valla- ja linnavolikogu"/>
    <x v="97"/>
    <x v="5"/>
    <x v="95"/>
    <s v=""/>
    <s v=""/>
    <x v="3"/>
    <x v="40"/>
    <m/>
    <m/>
    <n v="8855"/>
  </r>
  <r>
    <x v="516"/>
    <n v="2500"/>
    <x v="9"/>
    <x v="3"/>
    <s v="Administreerimiskulud"/>
    <s v="2"/>
    <x v="1"/>
    <m/>
    <m/>
    <s v="1"/>
    <s v="Valla- ja linnavolikogu"/>
    <x v="97"/>
    <x v="5"/>
    <x v="95"/>
    <s v=""/>
    <s v=""/>
    <x v="4"/>
    <x v="40"/>
    <m/>
    <m/>
    <n v="2500"/>
  </r>
  <r>
    <x v="517"/>
    <n v="6600"/>
    <x v="20"/>
    <x v="2"/>
    <s v="Valitavate ametnike ja kõrgemate riigiteenijate töötasu"/>
    <s v="2"/>
    <x v="1"/>
    <m/>
    <m/>
    <s v="1"/>
    <s v="Valla- ja linnavolikogu"/>
    <x v="97"/>
    <x v="5"/>
    <x v="95"/>
    <s v=""/>
    <s v=""/>
    <x v="3"/>
    <x v="40"/>
    <m/>
    <m/>
    <n v="6600"/>
  </r>
  <r>
    <x v="61"/>
    <n v="1800"/>
    <x v="14"/>
    <x v="3"/>
    <s v="Isikliku sõiduauto kompensatsioon"/>
    <s v="2"/>
    <x v="1"/>
    <m/>
    <m/>
    <s v="1"/>
    <s v="Valla- ja linnavolikogu"/>
    <x v="97"/>
    <x v="5"/>
    <x v="95"/>
    <s v=""/>
    <s v=""/>
    <x v="4"/>
    <x v="40"/>
    <m/>
    <m/>
    <n v="1800"/>
  </r>
  <r>
    <x v="61"/>
    <n v="900"/>
    <x v="14"/>
    <x v="3"/>
    <s v="Isikliku sõiduauto kompensatsioon"/>
    <s v="2"/>
    <x v="1"/>
    <m/>
    <m/>
    <s v="1"/>
    <s v="Valla- ja linnavolikogu"/>
    <x v="97"/>
    <x v="5"/>
    <x v="95"/>
    <m/>
    <m/>
    <x v="4"/>
    <x v="40"/>
    <m/>
    <m/>
    <n v="900"/>
  </r>
  <r>
    <x v="518"/>
    <n v="4000"/>
    <x v="20"/>
    <x v="2"/>
    <s v="Valitavate ametnike ja kõrgemate riigiteenijate töötasu"/>
    <s v="2"/>
    <x v="1"/>
    <m/>
    <m/>
    <s v="1"/>
    <s v="Valla- ja linnavolikogu"/>
    <x v="97"/>
    <x v="5"/>
    <x v="95"/>
    <s v=""/>
    <s v=""/>
    <x v="3"/>
    <x v="40"/>
    <m/>
    <m/>
    <n v="4000"/>
  </r>
  <r>
    <x v="519"/>
    <n v="12000"/>
    <x v="20"/>
    <x v="2"/>
    <s v="Valitavate ametnike ja kõrgemate riigiteenijate töötasu"/>
    <s v="2"/>
    <x v="1"/>
    <m/>
    <m/>
    <s v="1"/>
    <s v="Valla- ja linnavolikogu"/>
    <x v="97"/>
    <x v="5"/>
    <x v="95"/>
    <s v=""/>
    <s v=""/>
    <x v="3"/>
    <x v="40"/>
    <m/>
    <m/>
    <n v="12000"/>
  </r>
  <r>
    <x v="520"/>
    <n v="500"/>
    <x v="19"/>
    <x v="1"/>
    <s v="Liikmemaksud"/>
    <s v="2"/>
    <x v="1"/>
    <m/>
    <m/>
    <s v="2"/>
    <s v="Valla- ja linnavalitsus"/>
    <x v="98"/>
    <x v="5"/>
    <x v="96"/>
    <s v=""/>
    <s v=""/>
    <x v="6"/>
    <x v="41"/>
    <m/>
    <m/>
    <n v="500"/>
  </r>
  <r>
    <x v="521"/>
    <n v="850"/>
    <x v="19"/>
    <x v="1"/>
    <s v="Liikmemaksud"/>
    <s v="2"/>
    <x v="1"/>
    <m/>
    <m/>
    <s v="2"/>
    <s v="Valla- ja linnavalitsus"/>
    <x v="98"/>
    <x v="5"/>
    <x v="96"/>
    <s v=""/>
    <s v=""/>
    <x v="6"/>
    <x v="41"/>
    <m/>
    <m/>
    <n v="850"/>
  </r>
  <r>
    <x v="522"/>
    <n v="1500"/>
    <x v="19"/>
    <x v="1"/>
    <s v="Liikmemaksud"/>
    <s v="2"/>
    <x v="1"/>
    <m/>
    <m/>
    <s v="2"/>
    <s v="Valla- ja linnavalitsus"/>
    <x v="98"/>
    <x v="5"/>
    <x v="96"/>
    <s v=""/>
    <s v=""/>
    <x v="6"/>
    <x v="41"/>
    <m/>
    <m/>
    <n v="1500"/>
  </r>
  <r>
    <x v="523"/>
    <n v="4474"/>
    <x v="19"/>
    <x v="1"/>
    <s v="Liikmemaksud"/>
    <s v="2"/>
    <x v="1"/>
    <m/>
    <m/>
    <s v="2"/>
    <s v="Valla- ja linnavalitsus"/>
    <x v="98"/>
    <x v="5"/>
    <x v="96"/>
    <s v=""/>
    <s v=""/>
    <x v="6"/>
    <x v="41"/>
    <m/>
    <m/>
    <n v="4474"/>
  </r>
  <r>
    <x v="524"/>
    <n v="16054"/>
    <x v="19"/>
    <x v="1"/>
    <s v="Liikmemaksud"/>
    <s v="2"/>
    <x v="1"/>
    <m/>
    <m/>
    <s v="2"/>
    <s v="Valla- ja linnavalitsus"/>
    <x v="98"/>
    <x v="5"/>
    <x v="96"/>
    <s v=""/>
    <s v=""/>
    <x v="6"/>
    <x v="41"/>
    <m/>
    <m/>
    <n v="16054"/>
  </r>
  <r>
    <x v="525"/>
    <n v="5828"/>
    <x v="19"/>
    <x v="1"/>
    <s v="Liikmemaksud"/>
    <s v="2"/>
    <x v="1"/>
    <m/>
    <m/>
    <s v="2"/>
    <s v="Valla- ja linnavalitsus"/>
    <x v="98"/>
    <x v="5"/>
    <x v="96"/>
    <s v=""/>
    <s v=""/>
    <x v="6"/>
    <x v="41"/>
    <m/>
    <m/>
    <n v="5828"/>
  </r>
  <r>
    <x v="526"/>
    <n v="2755"/>
    <x v="19"/>
    <x v="1"/>
    <s v="Liikmemaksud"/>
    <s v="2"/>
    <x v="1"/>
    <m/>
    <m/>
    <s v="2"/>
    <s v="Valla- ja linnavalitsus"/>
    <x v="98"/>
    <x v="5"/>
    <x v="96"/>
    <s v=""/>
    <s v=""/>
    <x v="6"/>
    <x v="41"/>
    <m/>
    <m/>
    <n v="2755"/>
  </r>
  <r>
    <x v="527"/>
    <n v="2000"/>
    <x v="19"/>
    <x v="1"/>
    <s v="Liikmemaksud"/>
    <s v="2"/>
    <x v="1"/>
    <m/>
    <m/>
    <s v="2"/>
    <s v="Valla- ja linnavalitsus"/>
    <x v="98"/>
    <x v="5"/>
    <x v="96"/>
    <s v=""/>
    <s v=""/>
    <x v="6"/>
    <x v="41"/>
    <m/>
    <m/>
    <n v="2000"/>
  </r>
  <r>
    <x v="528"/>
    <m/>
    <x v="41"/>
    <x v="3"/>
    <s v="Meditsiinikulud ja hügieenikulud"/>
    <s v="2"/>
    <x v="1"/>
    <m/>
    <m/>
    <s v="25"/>
    <s v="Haridusteenistus"/>
    <x v="35"/>
    <x v="1"/>
    <x v="35"/>
    <m/>
    <m/>
    <x v="4"/>
    <x v="20"/>
    <m/>
    <m/>
    <n v="0"/>
  </r>
  <r>
    <x v="529"/>
    <n v="3260.8"/>
    <x v="15"/>
    <x v="3"/>
    <s v="Õppevahendite ja koolituse kulud"/>
    <s v="2"/>
    <x v="1"/>
    <m/>
    <m/>
    <s v="25"/>
    <s v="Haridusteenistus"/>
    <x v="35"/>
    <x v="1"/>
    <x v="35"/>
    <m/>
    <m/>
    <x v="4"/>
    <x v="20"/>
    <m/>
    <m/>
    <n v="3260.8"/>
  </r>
  <r>
    <x v="530"/>
    <n v="24960"/>
    <x v="15"/>
    <x v="3"/>
    <s v="Õppevahendite ja koolituse kulud"/>
    <s v="2"/>
    <x v="1"/>
    <m/>
    <m/>
    <s v="25"/>
    <s v="Haridusteenistus"/>
    <x v="35"/>
    <x v="1"/>
    <x v="35"/>
    <m/>
    <m/>
    <x v="4"/>
    <x v="20"/>
    <m/>
    <m/>
    <n v="24960"/>
  </r>
  <r>
    <x v="531"/>
    <n v="10760"/>
    <x v="25"/>
    <x v="3"/>
    <s v="Kommunikatsiooni-, kultuuri- ja vaba aja sisustamise kulud"/>
    <s v="2"/>
    <x v="1"/>
    <m/>
    <m/>
    <s v="63"/>
    <s v="Pajusti klubi"/>
    <x v="32"/>
    <x v="2"/>
    <x v="32"/>
    <m/>
    <m/>
    <x v="4"/>
    <x v="19"/>
    <m/>
    <m/>
    <n v="10760"/>
  </r>
  <r>
    <x v="532"/>
    <n v="600"/>
    <x v="28"/>
    <x v="3"/>
    <s v="Mitmesugused majanduskulud"/>
    <s v="2"/>
    <x v="1"/>
    <m/>
    <m/>
    <s v="63"/>
    <s v="Pajusti klubi"/>
    <x v="32"/>
    <x v="2"/>
    <x v="32"/>
    <m/>
    <m/>
    <x v="4"/>
    <x v="19"/>
    <m/>
    <m/>
    <n v="600"/>
  </r>
  <r>
    <x v="533"/>
    <n v="200"/>
    <x v="29"/>
    <x v="3"/>
    <s v="Inventari majandamiskulud"/>
    <s v="2"/>
    <x v="1"/>
    <m/>
    <m/>
    <s v="63"/>
    <s v="Pajusti klubi"/>
    <x v="32"/>
    <x v="2"/>
    <x v="32"/>
    <m/>
    <m/>
    <x v="4"/>
    <x v="19"/>
    <m/>
    <m/>
    <n v="200"/>
  </r>
  <r>
    <x v="534"/>
    <n v="144"/>
    <x v="10"/>
    <x v="3"/>
    <s v="Info- ja kommunikatsioonitehnoloogia kulud"/>
    <s v="2"/>
    <x v="1"/>
    <m/>
    <m/>
    <s v="63"/>
    <s v="Pajusti klubi"/>
    <x v="32"/>
    <x v="2"/>
    <x v="32"/>
    <m/>
    <m/>
    <x v="4"/>
    <x v="19"/>
    <m/>
    <m/>
    <n v="144"/>
  </r>
  <r>
    <x v="535"/>
    <n v="1200"/>
    <x v="9"/>
    <x v="3"/>
    <s v="Administreerimiskulud"/>
    <s v="2"/>
    <x v="1"/>
    <m/>
    <m/>
    <s v="63"/>
    <s v="Pajusti klubi"/>
    <x v="32"/>
    <x v="2"/>
    <x v="32"/>
    <m/>
    <m/>
    <x v="4"/>
    <x v="19"/>
    <m/>
    <m/>
    <n v="1200"/>
  </r>
  <r>
    <x v="112"/>
    <n v="1200"/>
    <x v="8"/>
    <x v="3"/>
    <s v="Kinnistute, hoonete ja ruumide majandamiskulud"/>
    <s v="2"/>
    <x v="1"/>
    <m/>
    <m/>
    <s v="63"/>
    <s v="Pajusti klubi"/>
    <x v="32"/>
    <x v="2"/>
    <x v="32"/>
    <m/>
    <m/>
    <x v="4"/>
    <x v="19"/>
    <m/>
    <m/>
    <n v="1200"/>
  </r>
  <r>
    <x v="197"/>
    <n v="800"/>
    <x v="31"/>
    <x v="3"/>
    <s v="Koolituskulud (sh koolituslähetus)"/>
    <s v="2"/>
    <x v="1"/>
    <m/>
    <m/>
    <s v="63"/>
    <s v="Pajusti klubi"/>
    <x v="32"/>
    <x v="2"/>
    <x v="32"/>
    <m/>
    <m/>
    <x v="4"/>
    <x v="19"/>
    <m/>
    <m/>
    <n v="800"/>
  </r>
  <r>
    <x v="173"/>
    <n v="600"/>
    <x v="9"/>
    <x v="3"/>
    <s v="Administreerimiskulud"/>
    <s v="2"/>
    <x v="1"/>
    <m/>
    <m/>
    <s v="63"/>
    <s v="Pajusti klubi"/>
    <x v="32"/>
    <x v="2"/>
    <x v="32"/>
    <m/>
    <m/>
    <x v="4"/>
    <x v="19"/>
    <m/>
    <m/>
    <n v="600"/>
  </r>
  <r>
    <x v="427"/>
    <n v="900"/>
    <x v="8"/>
    <x v="3"/>
    <s v="Kinnistute, hoonete ja ruumide majandamiskulud"/>
    <s v="2"/>
    <x v="1"/>
    <m/>
    <m/>
    <s v="34"/>
    <s v="Laekvere Lasteaed"/>
    <x v="1"/>
    <x v="1"/>
    <x v="1"/>
    <m/>
    <m/>
    <x v="4"/>
    <x v="1"/>
    <m/>
    <m/>
    <n v="900"/>
  </r>
  <r>
    <x v="536"/>
    <n v="100"/>
    <x v="9"/>
    <x v="3"/>
    <s v="Administreerimiskulud"/>
    <s v="2"/>
    <x v="1"/>
    <m/>
    <m/>
    <s v="34"/>
    <s v="Laekvere Lasteaed"/>
    <x v="1"/>
    <x v="1"/>
    <x v="1"/>
    <m/>
    <m/>
    <x v="4"/>
    <x v="1"/>
    <m/>
    <m/>
    <n v="100"/>
  </r>
  <r>
    <x v="173"/>
    <n v="300"/>
    <x v="9"/>
    <x v="3"/>
    <s v="Administreerimiskulud"/>
    <s v="2"/>
    <x v="1"/>
    <m/>
    <m/>
    <s v="34"/>
    <s v="Laekvere Lasteaed"/>
    <x v="1"/>
    <x v="1"/>
    <x v="1"/>
    <m/>
    <m/>
    <x v="4"/>
    <x v="1"/>
    <m/>
    <m/>
    <n v="300"/>
  </r>
  <r>
    <x v="537"/>
    <n v="400"/>
    <x v="9"/>
    <x v="3"/>
    <s v="Administreerimiskulud"/>
    <s v="2"/>
    <x v="1"/>
    <m/>
    <m/>
    <s v="34"/>
    <s v="Laekvere Lasteaed"/>
    <x v="1"/>
    <x v="1"/>
    <x v="1"/>
    <m/>
    <m/>
    <x v="4"/>
    <x v="1"/>
    <m/>
    <m/>
    <n v="400"/>
  </r>
  <r>
    <x v="538"/>
    <n v="600"/>
    <x v="9"/>
    <x v="3"/>
    <s v="Administreerimiskulud"/>
    <s v="2"/>
    <x v="1"/>
    <m/>
    <m/>
    <s v="34"/>
    <s v="Laekvere Lasteaed"/>
    <x v="1"/>
    <x v="1"/>
    <x v="1"/>
    <m/>
    <m/>
    <x v="4"/>
    <x v="1"/>
    <m/>
    <m/>
    <n v="600"/>
  </r>
  <r>
    <x v="197"/>
    <n v="500"/>
    <x v="31"/>
    <x v="3"/>
    <s v="Koolituskulud (sh koolituslähetus)"/>
    <s v="2"/>
    <x v="1"/>
    <m/>
    <m/>
    <s v="34"/>
    <s v="Laekvere Lasteaed"/>
    <x v="1"/>
    <x v="1"/>
    <x v="1"/>
    <m/>
    <m/>
    <x v="4"/>
    <x v="1"/>
    <m/>
    <m/>
    <n v="500"/>
  </r>
  <r>
    <x v="112"/>
    <n v="2400"/>
    <x v="8"/>
    <x v="3"/>
    <s v="Kinnistute, hoonete ja ruumide majandamiskulud"/>
    <s v="2"/>
    <x v="1"/>
    <m/>
    <m/>
    <s v="34"/>
    <s v="Laekvere Lasteaed"/>
    <x v="1"/>
    <x v="1"/>
    <x v="1"/>
    <m/>
    <m/>
    <x v="4"/>
    <x v="1"/>
    <m/>
    <m/>
    <n v="2400"/>
  </r>
  <r>
    <x v="539"/>
    <n v="300"/>
    <x v="8"/>
    <x v="3"/>
    <s v="Kinnistute, hoonete ja ruumide majandamiskulud"/>
    <s v="2"/>
    <x v="1"/>
    <m/>
    <m/>
    <s v="34"/>
    <s v="Laekvere Lasteaed"/>
    <x v="1"/>
    <x v="1"/>
    <x v="1"/>
    <m/>
    <m/>
    <x v="4"/>
    <x v="1"/>
    <m/>
    <m/>
    <n v="300"/>
  </r>
  <r>
    <x v="540"/>
    <n v="200"/>
    <x v="8"/>
    <x v="3"/>
    <s v="Kinnistute, hoonete ja ruumide majandamiskulud"/>
    <s v="2"/>
    <x v="1"/>
    <m/>
    <m/>
    <s v="34"/>
    <s v="Laekvere Lasteaed"/>
    <x v="1"/>
    <x v="1"/>
    <x v="1"/>
    <m/>
    <m/>
    <x v="4"/>
    <x v="1"/>
    <m/>
    <m/>
    <n v="200"/>
  </r>
  <r>
    <x v="541"/>
    <n v="250"/>
    <x v="10"/>
    <x v="3"/>
    <s v="Info- ja kommunikatsioonitehnoloogia kulud"/>
    <s v="2"/>
    <x v="1"/>
    <m/>
    <m/>
    <s v="34"/>
    <s v="Laekvere Lasteaed"/>
    <x v="1"/>
    <x v="1"/>
    <x v="1"/>
    <m/>
    <m/>
    <x v="4"/>
    <x v="1"/>
    <m/>
    <m/>
    <n v="250"/>
  </r>
  <r>
    <x v="542"/>
    <n v="100"/>
    <x v="10"/>
    <x v="3"/>
    <s v="Info- ja kommunikatsioonitehnoloogia kulud"/>
    <s v="2"/>
    <x v="1"/>
    <m/>
    <m/>
    <s v="34"/>
    <s v="Laekvere Lasteaed"/>
    <x v="1"/>
    <x v="1"/>
    <x v="1"/>
    <m/>
    <m/>
    <x v="4"/>
    <x v="1"/>
    <m/>
    <m/>
    <n v="100"/>
  </r>
  <r>
    <x v="543"/>
    <n v="100"/>
    <x v="10"/>
    <x v="3"/>
    <s v="Info- ja kommunikatsioonitehnoloogia kulud"/>
    <s v="2"/>
    <x v="1"/>
    <m/>
    <m/>
    <s v="34"/>
    <s v="Laekvere Lasteaed"/>
    <x v="1"/>
    <x v="1"/>
    <x v="1"/>
    <m/>
    <m/>
    <x v="4"/>
    <x v="1"/>
    <m/>
    <m/>
    <n v="100"/>
  </r>
  <r>
    <x v="544"/>
    <n v="774"/>
    <x v="29"/>
    <x v="3"/>
    <s v="Inventari majandamiskulud"/>
    <s v="2"/>
    <x v="1"/>
    <m/>
    <m/>
    <s v="34"/>
    <s v="Laekvere Lasteaed"/>
    <x v="1"/>
    <x v="1"/>
    <x v="1"/>
    <m/>
    <m/>
    <x v="4"/>
    <x v="1"/>
    <m/>
    <m/>
    <n v="774"/>
  </r>
  <r>
    <x v="545"/>
    <n v="100"/>
    <x v="41"/>
    <x v="3"/>
    <s v="Meditsiinikulud ja hügieenikulud"/>
    <s v="2"/>
    <x v="1"/>
    <m/>
    <m/>
    <s v="34"/>
    <s v="Laekvere Lasteaed"/>
    <x v="1"/>
    <x v="1"/>
    <x v="1"/>
    <m/>
    <m/>
    <x v="4"/>
    <x v="1"/>
    <m/>
    <m/>
    <n v="100"/>
  </r>
  <r>
    <x v="546"/>
    <n v="50"/>
    <x v="41"/>
    <x v="3"/>
    <s v="Meditsiinikulud ja hügieenikulud"/>
    <s v="2"/>
    <x v="1"/>
    <m/>
    <m/>
    <s v="34"/>
    <s v="Laekvere Lasteaed"/>
    <x v="1"/>
    <x v="1"/>
    <x v="1"/>
    <m/>
    <m/>
    <x v="4"/>
    <x v="1"/>
    <m/>
    <m/>
    <n v="50"/>
  </r>
  <r>
    <x v="547"/>
    <n v="200"/>
    <x v="15"/>
    <x v="3"/>
    <s v="Õppevahendite ja koolituse kulud"/>
    <s v="2"/>
    <x v="1"/>
    <m/>
    <m/>
    <s v="34"/>
    <s v="Laekvere Lasteaed"/>
    <x v="1"/>
    <x v="1"/>
    <x v="1"/>
    <m/>
    <m/>
    <x v="4"/>
    <x v="1"/>
    <m/>
    <m/>
    <n v="200"/>
  </r>
  <r>
    <x v="548"/>
    <n v="100"/>
    <x v="15"/>
    <x v="3"/>
    <s v="Õppevahendite ja koolituse kulud"/>
    <s v="2"/>
    <x v="1"/>
    <m/>
    <m/>
    <s v="34"/>
    <s v="Laekvere Lasteaed"/>
    <x v="1"/>
    <x v="1"/>
    <x v="1"/>
    <m/>
    <m/>
    <x v="4"/>
    <x v="1"/>
    <m/>
    <m/>
    <n v="100"/>
  </r>
  <r>
    <x v="549"/>
    <n v="750"/>
    <x v="15"/>
    <x v="3"/>
    <s v="Õppevahendite ja koolituse kulud"/>
    <s v="2"/>
    <x v="1"/>
    <m/>
    <m/>
    <s v="34"/>
    <s v="Laekvere Lasteaed"/>
    <x v="1"/>
    <x v="1"/>
    <x v="1"/>
    <m/>
    <m/>
    <x v="4"/>
    <x v="1"/>
    <m/>
    <m/>
    <n v="750"/>
  </r>
  <r>
    <x v="550"/>
    <n v="750"/>
    <x v="15"/>
    <x v="3"/>
    <s v="Õppevahendite ja koolituse kulud"/>
    <s v="2"/>
    <x v="1"/>
    <m/>
    <m/>
    <s v="34"/>
    <s v="Laekvere Lasteaed"/>
    <x v="1"/>
    <x v="1"/>
    <x v="1"/>
    <m/>
    <m/>
    <x v="4"/>
    <x v="1"/>
    <m/>
    <m/>
    <n v="750"/>
  </r>
  <r>
    <x v="551"/>
    <n v="750"/>
    <x v="15"/>
    <x v="3"/>
    <s v="Õppevahendite ja koolituse kulud"/>
    <s v="2"/>
    <x v="1"/>
    <m/>
    <m/>
    <s v="34"/>
    <s v="Laekvere Lasteaed"/>
    <x v="1"/>
    <x v="1"/>
    <x v="1"/>
    <m/>
    <m/>
    <x v="4"/>
    <x v="1"/>
    <m/>
    <m/>
    <n v="750"/>
  </r>
  <r>
    <x v="552"/>
    <n v="100"/>
    <x v="25"/>
    <x v="3"/>
    <s v="Kommunikatsiooni-, kultuuri- ja vaba aja sisustamise kulud"/>
    <s v="2"/>
    <x v="1"/>
    <m/>
    <m/>
    <s v="34"/>
    <s v="Laekvere Lasteaed"/>
    <x v="1"/>
    <x v="1"/>
    <x v="1"/>
    <m/>
    <m/>
    <x v="4"/>
    <x v="1"/>
    <m/>
    <m/>
    <n v="100"/>
  </r>
  <r>
    <x v="553"/>
    <n v="550"/>
    <x v="25"/>
    <x v="3"/>
    <s v="Kommunikatsiooni-, kultuuri- ja vaba aja sisustamise kulud"/>
    <s v="2"/>
    <x v="1"/>
    <m/>
    <m/>
    <s v="34"/>
    <s v="Laekvere Lasteaed"/>
    <x v="1"/>
    <x v="1"/>
    <x v="1"/>
    <m/>
    <m/>
    <x v="4"/>
    <x v="1"/>
    <m/>
    <m/>
    <n v="550"/>
  </r>
  <r>
    <x v="554"/>
    <n v="250"/>
    <x v="8"/>
    <x v="3"/>
    <s v="Kinnistute, hoonete ja ruumide majandamiskulud"/>
    <s v="2"/>
    <x v="1"/>
    <m/>
    <m/>
    <s v="32"/>
    <s v="Kulina Lasteaed"/>
    <x v="36"/>
    <x v="1"/>
    <x v="36"/>
    <m/>
    <m/>
    <x v="4"/>
    <x v="1"/>
    <m/>
    <m/>
    <n v="250"/>
  </r>
  <r>
    <x v="555"/>
    <n v="115"/>
    <x v="8"/>
    <x v="3"/>
    <s v="Kinnistute, hoonete ja ruumide majandamiskulud"/>
    <s v="2"/>
    <x v="1"/>
    <m/>
    <m/>
    <s v="32"/>
    <s v="Kulina Lasteaed"/>
    <x v="36"/>
    <x v="1"/>
    <x v="36"/>
    <m/>
    <m/>
    <x v="4"/>
    <x v="1"/>
    <m/>
    <m/>
    <n v="115"/>
  </r>
  <r>
    <x v="556"/>
    <n v="105"/>
    <x v="8"/>
    <x v="3"/>
    <s v="Kinnistute, hoonete ja ruumide majandamiskulud"/>
    <s v="2"/>
    <x v="1"/>
    <m/>
    <m/>
    <s v="32"/>
    <s v="Kulina Lasteaed"/>
    <x v="36"/>
    <x v="1"/>
    <x v="36"/>
    <m/>
    <m/>
    <x v="4"/>
    <x v="1"/>
    <m/>
    <m/>
    <n v="105"/>
  </r>
  <r>
    <x v="557"/>
    <n v="170"/>
    <x v="8"/>
    <x v="3"/>
    <s v="Kinnistute, hoonete ja ruumide majandamiskulud"/>
    <s v="2"/>
    <x v="1"/>
    <m/>
    <m/>
    <s v="32"/>
    <s v="Kulina Lasteaed"/>
    <x v="36"/>
    <x v="1"/>
    <x v="36"/>
    <m/>
    <m/>
    <x v="4"/>
    <x v="1"/>
    <m/>
    <m/>
    <n v="170"/>
  </r>
  <r>
    <x v="558"/>
    <n v="85"/>
    <x v="10"/>
    <x v="3"/>
    <s v="Info- ja kommunikatsioonitehnoloogia kulud"/>
    <s v="2"/>
    <x v="1"/>
    <m/>
    <m/>
    <s v="32"/>
    <s v="Kulina Lasteaed"/>
    <x v="36"/>
    <x v="1"/>
    <x v="36"/>
    <m/>
    <m/>
    <x v="4"/>
    <x v="1"/>
    <m/>
    <m/>
    <n v="85"/>
  </r>
  <r>
    <x v="559"/>
    <n v="180"/>
    <x v="8"/>
    <x v="3"/>
    <s v="Kinnistute, hoonete ja ruumide majandamiskulud"/>
    <s v="2"/>
    <x v="1"/>
    <m/>
    <m/>
    <s v="32"/>
    <s v="Kulina Lasteaed"/>
    <x v="36"/>
    <x v="1"/>
    <x v="36"/>
    <m/>
    <m/>
    <x v="4"/>
    <x v="1"/>
    <m/>
    <m/>
    <n v="180"/>
  </r>
  <r>
    <x v="560"/>
    <n v="400"/>
    <x v="10"/>
    <x v="3"/>
    <s v="Info- ja kommunikatsioonitehnoloogia kulud"/>
    <s v="2"/>
    <x v="1"/>
    <m/>
    <m/>
    <s v="32"/>
    <s v="Kulina Lasteaed"/>
    <x v="36"/>
    <x v="1"/>
    <x v="36"/>
    <m/>
    <m/>
    <x v="4"/>
    <x v="1"/>
    <m/>
    <m/>
    <n v="400"/>
  </r>
  <r>
    <x v="561"/>
    <n v="875"/>
    <x v="8"/>
    <x v="3"/>
    <s v="Kinnistute, hoonete ja ruumide majandamiskulud"/>
    <s v="2"/>
    <x v="1"/>
    <m/>
    <m/>
    <s v="32"/>
    <s v="Kulina Lasteaed"/>
    <x v="36"/>
    <x v="1"/>
    <x v="36"/>
    <m/>
    <m/>
    <x v="4"/>
    <x v="1"/>
    <m/>
    <m/>
    <n v="875"/>
  </r>
  <r>
    <x v="562"/>
    <n v="650"/>
    <x v="9"/>
    <x v="3"/>
    <s v="Administreerimiskulud"/>
    <s v="2"/>
    <x v="1"/>
    <m/>
    <m/>
    <s v="32"/>
    <s v="Kulina Lasteaed"/>
    <x v="36"/>
    <x v="1"/>
    <x v="36"/>
    <m/>
    <m/>
    <x v="4"/>
    <x v="1"/>
    <m/>
    <m/>
    <n v="650"/>
  </r>
  <r>
    <x v="538"/>
    <n v="300"/>
    <x v="9"/>
    <x v="3"/>
    <s v="Administreerimiskulud"/>
    <s v="2"/>
    <x v="1"/>
    <m/>
    <m/>
    <s v="32"/>
    <s v="Kulina Lasteaed"/>
    <x v="36"/>
    <x v="1"/>
    <x v="36"/>
    <m/>
    <m/>
    <x v="4"/>
    <x v="1"/>
    <m/>
    <m/>
    <n v="300"/>
  </r>
  <r>
    <x v="563"/>
    <n v="372"/>
    <x v="8"/>
    <x v="3"/>
    <s v="Kinnistute, hoonete ja ruumide majandamiskulud"/>
    <s v="2"/>
    <x v="1"/>
    <m/>
    <m/>
    <s v="32"/>
    <s v="Kulina Lasteaed"/>
    <x v="36"/>
    <x v="1"/>
    <x v="36"/>
    <m/>
    <m/>
    <x v="4"/>
    <x v="1"/>
    <m/>
    <m/>
    <n v="372"/>
  </r>
  <r>
    <x v="564"/>
    <n v="375"/>
    <x v="17"/>
    <x v="2"/>
    <s v="Töötasud võlaõiguslike lepingute alusel"/>
    <s v="2"/>
    <x v="1"/>
    <m/>
    <m/>
    <s v="32"/>
    <s v="Kulina Lasteaed"/>
    <x v="36"/>
    <x v="1"/>
    <x v="36"/>
    <m/>
    <m/>
    <x v="3"/>
    <x v="1"/>
    <m/>
    <m/>
    <n v="375"/>
  </r>
  <r>
    <x v="565"/>
    <n v="119"/>
    <x v="29"/>
    <x v="3"/>
    <s v="Inventari majandamiskulud"/>
    <s v="2"/>
    <x v="1"/>
    <m/>
    <m/>
    <s v="32"/>
    <s v="Kulina Lasteaed"/>
    <x v="36"/>
    <x v="1"/>
    <x v="36"/>
    <m/>
    <m/>
    <x v="4"/>
    <x v="1"/>
    <m/>
    <m/>
    <n v="119"/>
  </r>
  <r>
    <x v="566"/>
    <n v="182"/>
    <x v="29"/>
    <x v="3"/>
    <s v="Inventari majandamiskulud"/>
    <s v="2"/>
    <x v="1"/>
    <m/>
    <m/>
    <s v="32"/>
    <s v="Kulina Lasteaed"/>
    <x v="36"/>
    <x v="1"/>
    <x v="36"/>
    <m/>
    <m/>
    <x v="4"/>
    <x v="1"/>
    <m/>
    <m/>
    <n v="182"/>
  </r>
  <r>
    <x v="567"/>
    <n v="180"/>
    <x v="8"/>
    <x v="3"/>
    <s v="Kinnistute, hoonete ja ruumide majandamiskulud"/>
    <s v="2"/>
    <x v="1"/>
    <m/>
    <m/>
    <s v="32"/>
    <s v="Kulina Lasteaed"/>
    <x v="36"/>
    <x v="1"/>
    <x v="36"/>
    <m/>
    <m/>
    <x v="4"/>
    <x v="1"/>
    <m/>
    <m/>
    <n v="180"/>
  </r>
  <r>
    <x v="568"/>
    <n v="120"/>
    <x v="8"/>
    <x v="3"/>
    <s v="Kinnistute, hoonete ja ruumide majandamiskulud"/>
    <s v="2"/>
    <x v="1"/>
    <m/>
    <m/>
    <s v="32"/>
    <s v="Kulina Lasteaed"/>
    <x v="36"/>
    <x v="1"/>
    <x v="36"/>
    <m/>
    <m/>
    <x v="4"/>
    <x v="1"/>
    <m/>
    <m/>
    <n v="120"/>
  </r>
  <r>
    <x v="69"/>
    <n v="1000"/>
    <x v="16"/>
    <x v="3"/>
    <s v="Toiduained ja toitlustusteenused"/>
    <s v="2"/>
    <x v="1"/>
    <m/>
    <m/>
    <s v="32"/>
    <s v="Kulina Lasteaed"/>
    <x v="36"/>
    <x v="1"/>
    <x v="36"/>
    <m/>
    <m/>
    <x v="4"/>
    <x v="1"/>
    <m/>
    <m/>
    <n v="1000"/>
  </r>
  <r>
    <x v="569"/>
    <n v="16"/>
    <x v="9"/>
    <x v="3"/>
    <s v="Administreerimiskulud"/>
    <s v="2"/>
    <x v="1"/>
    <m/>
    <m/>
    <s v="32"/>
    <s v="Kulina Lasteaed"/>
    <x v="36"/>
    <x v="1"/>
    <x v="36"/>
    <m/>
    <m/>
    <x v="4"/>
    <x v="1"/>
    <m/>
    <m/>
    <n v="16"/>
  </r>
  <r>
    <x v="570"/>
    <n v="2700"/>
    <x v="15"/>
    <x v="3"/>
    <s v="Õppevahendite ja koolituse kulud"/>
    <s v="2"/>
    <x v="1"/>
    <m/>
    <m/>
    <s v="32"/>
    <s v="Kulina Lasteaed"/>
    <x v="36"/>
    <x v="1"/>
    <x v="36"/>
    <m/>
    <m/>
    <x v="4"/>
    <x v="1"/>
    <m/>
    <m/>
    <n v="2700"/>
  </r>
  <r>
    <x v="571"/>
    <n v="250"/>
    <x v="41"/>
    <x v="3"/>
    <s v="Meditsiinikulud ja hügieenikulud"/>
    <s v="2"/>
    <x v="1"/>
    <m/>
    <m/>
    <s v="32"/>
    <s v="Kulina Lasteaed"/>
    <x v="36"/>
    <x v="1"/>
    <x v="36"/>
    <m/>
    <m/>
    <x v="4"/>
    <x v="1"/>
    <m/>
    <m/>
    <n v="250"/>
  </r>
  <r>
    <x v="112"/>
    <n v="1100"/>
    <x v="8"/>
    <x v="3"/>
    <s v="Kinnistute, hoonete ja ruumide majandamiskulud"/>
    <s v="2"/>
    <x v="1"/>
    <m/>
    <m/>
    <s v="32"/>
    <s v="Kulina Lasteaed"/>
    <x v="36"/>
    <x v="1"/>
    <x v="36"/>
    <m/>
    <m/>
    <x v="4"/>
    <x v="1"/>
    <m/>
    <m/>
    <n v="1100"/>
  </r>
  <r>
    <x v="572"/>
    <n v="510"/>
    <x v="17"/>
    <x v="2"/>
    <s v="Töötasud võlaõiguslike lepingute alusel"/>
    <s v="2"/>
    <x v="1"/>
    <m/>
    <m/>
    <s v="32"/>
    <s v="Kulina Lasteaed"/>
    <x v="36"/>
    <x v="1"/>
    <x v="36"/>
    <m/>
    <m/>
    <x v="3"/>
    <x v="1"/>
    <m/>
    <m/>
    <n v="510"/>
  </r>
  <r>
    <x v="573"/>
    <n v="650"/>
    <x v="25"/>
    <x v="3"/>
    <s v="Kommunikatsiooni-, kultuuri- ja vaba aja sisustamise kulud"/>
    <s v="2"/>
    <x v="1"/>
    <m/>
    <m/>
    <s v="32"/>
    <s v="Kulina Lasteaed"/>
    <x v="36"/>
    <x v="1"/>
    <x v="36"/>
    <m/>
    <m/>
    <x v="4"/>
    <x v="1"/>
    <m/>
    <m/>
    <n v="650"/>
  </r>
  <r>
    <x v="574"/>
    <n v="110"/>
    <x v="8"/>
    <x v="3"/>
    <s v="Kinnistute, hoonete ja ruumide majandamiskulud"/>
    <s v="2"/>
    <x v="1"/>
    <m/>
    <m/>
    <s v="32"/>
    <s v="Kulina Lasteaed"/>
    <x v="36"/>
    <x v="1"/>
    <x v="36"/>
    <m/>
    <m/>
    <x v="4"/>
    <x v="1"/>
    <m/>
    <m/>
    <n v="110"/>
  </r>
  <r>
    <x v="197"/>
    <n v="504"/>
    <x v="31"/>
    <x v="3"/>
    <s v="Koolituskulud (sh koolituslähetus)"/>
    <s v="2"/>
    <x v="1"/>
    <m/>
    <m/>
    <s v="32"/>
    <s v="Kulina Lasteaed"/>
    <x v="36"/>
    <x v="1"/>
    <x v="36"/>
    <m/>
    <m/>
    <x v="4"/>
    <x v="1"/>
    <m/>
    <m/>
    <n v="504"/>
  </r>
  <r>
    <x v="575"/>
    <n v="28"/>
    <x v="9"/>
    <x v="3"/>
    <s v="Administreerimiskulud"/>
    <s v="2"/>
    <x v="1"/>
    <m/>
    <m/>
    <s v="32"/>
    <s v="Kulina Lasteaed"/>
    <x v="36"/>
    <x v="1"/>
    <x v="36"/>
    <m/>
    <m/>
    <x v="4"/>
    <x v="1"/>
    <m/>
    <m/>
    <n v="28"/>
  </r>
  <r>
    <x v="576"/>
    <n v="27"/>
    <x v="9"/>
    <x v="3"/>
    <s v="Administreerimiskulud"/>
    <s v="2"/>
    <x v="1"/>
    <m/>
    <m/>
    <s v="32"/>
    <s v="Kulina Lasteaed"/>
    <x v="36"/>
    <x v="1"/>
    <x v="36"/>
    <m/>
    <m/>
    <x v="4"/>
    <x v="1"/>
    <m/>
    <m/>
    <n v="27"/>
  </r>
  <r>
    <x v="577"/>
    <n v="18"/>
    <x v="9"/>
    <x v="3"/>
    <s v="Administreerimiskulud"/>
    <s v="2"/>
    <x v="1"/>
    <m/>
    <m/>
    <s v="32"/>
    <s v="Kulina Lasteaed"/>
    <x v="36"/>
    <x v="1"/>
    <x v="36"/>
    <m/>
    <m/>
    <x v="4"/>
    <x v="1"/>
    <m/>
    <m/>
    <n v="18"/>
  </r>
  <r>
    <x v="578"/>
    <n v="1000"/>
    <x v="15"/>
    <x v="3"/>
    <s v="Õppevahendite ja koolituse kulud"/>
    <s v="2"/>
    <x v="1"/>
    <m/>
    <m/>
    <s v="25"/>
    <s v="Haridusteenistus"/>
    <x v="82"/>
    <x v="1"/>
    <x v="81"/>
    <m/>
    <m/>
    <x v="4"/>
    <x v="20"/>
    <m/>
    <m/>
    <n v="1000"/>
  </r>
  <r>
    <x v="197"/>
    <n v="1700"/>
    <x v="31"/>
    <x v="3"/>
    <s v="Koolituskulud (sh koolituslähetus)"/>
    <s v="2"/>
    <x v="1"/>
    <m/>
    <m/>
    <s v="25"/>
    <s v="Haridusteenistus"/>
    <x v="82"/>
    <x v="1"/>
    <x v="81"/>
    <m/>
    <m/>
    <x v="4"/>
    <x v="20"/>
    <m/>
    <m/>
    <n v="1700"/>
  </r>
  <r>
    <x v="579"/>
    <n v="1300"/>
    <x v="31"/>
    <x v="3"/>
    <s v="Koolituskulud (sh koolituslähetus)"/>
    <s v="2"/>
    <x v="1"/>
    <m/>
    <m/>
    <s v="25"/>
    <s v="Haridusteenistus"/>
    <x v="82"/>
    <x v="1"/>
    <x v="81"/>
    <m/>
    <m/>
    <x v="4"/>
    <x v="20"/>
    <m/>
    <m/>
    <n v="1300"/>
  </r>
  <r>
    <x v="92"/>
    <n v="25488"/>
    <x v="15"/>
    <x v="3"/>
    <s v="Õppevahendite ja koolituse kulud"/>
    <s v="2"/>
    <x v="1"/>
    <m/>
    <m/>
    <s v="25"/>
    <s v="Haridusteenistus"/>
    <x v="15"/>
    <x v="1"/>
    <x v="15"/>
    <m/>
    <m/>
    <x v="4"/>
    <x v="6"/>
    <m/>
    <m/>
    <n v="25488"/>
  </r>
  <r>
    <x v="580"/>
    <n v="3000"/>
    <x v="41"/>
    <x v="3"/>
    <s v="Meditsiinikulud ja hügieenikulud"/>
    <s v="2"/>
    <x v="1"/>
    <m/>
    <m/>
    <s v="45"/>
    <s v="Vinni pajusti Gümnaasium"/>
    <x v="7"/>
    <x v="1"/>
    <x v="7"/>
    <m/>
    <m/>
    <x v="4"/>
    <x v="6"/>
    <m/>
    <m/>
    <n v="3000"/>
  </r>
  <r>
    <x v="581"/>
    <n v="1000"/>
    <x v="47"/>
    <x v="3"/>
    <s v="Eri- ja vormiriietus (va kaitseotstarbelised kulud)"/>
    <s v="2"/>
    <x v="1"/>
    <m/>
    <m/>
    <s v="45"/>
    <s v="Vinni pajusti Gümnaasium"/>
    <x v="7"/>
    <x v="1"/>
    <x v="7"/>
    <m/>
    <m/>
    <x v="4"/>
    <x v="6"/>
    <m/>
    <m/>
    <n v="1000"/>
  </r>
  <r>
    <x v="582"/>
    <n v="11140"/>
    <x v="10"/>
    <x v="3"/>
    <s v="Info- ja kommunikatsioonitehnoloogia kulud"/>
    <s v="2"/>
    <x v="1"/>
    <m/>
    <m/>
    <s v="45"/>
    <s v="Vinni pajusti Gümnaasium"/>
    <x v="7"/>
    <x v="1"/>
    <x v="7"/>
    <m/>
    <m/>
    <x v="4"/>
    <x v="6"/>
    <m/>
    <m/>
    <n v="11140"/>
  </r>
  <r>
    <x v="583"/>
    <n v="550"/>
    <x v="31"/>
    <x v="3"/>
    <s v="Koolituskulud (sh koolituslähetus)"/>
    <s v="2"/>
    <x v="1"/>
    <m/>
    <m/>
    <s v="45"/>
    <s v="Vinni pajusti Gümnaasium"/>
    <x v="7"/>
    <x v="1"/>
    <x v="7"/>
    <m/>
    <m/>
    <x v="4"/>
    <x v="6"/>
    <m/>
    <m/>
    <n v="550"/>
  </r>
  <r>
    <x v="584"/>
    <n v="11000"/>
    <x v="25"/>
    <x v="3"/>
    <s v="Kommunikatsiooni-, kultuuri- ja vaba aja sisustamise kulud"/>
    <s v="2"/>
    <x v="1"/>
    <m/>
    <m/>
    <s v="45"/>
    <s v="Vinni pajusti Gümnaasium"/>
    <x v="7"/>
    <x v="1"/>
    <x v="7"/>
    <m/>
    <m/>
    <x v="4"/>
    <x v="6"/>
    <m/>
    <m/>
    <n v="11000"/>
  </r>
  <r>
    <x v="585"/>
    <n v="55000"/>
    <x v="15"/>
    <x v="3"/>
    <s v="Õppevahendite ja koolituse kulud"/>
    <s v="2"/>
    <x v="1"/>
    <m/>
    <m/>
    <s v="45"/>
    <s v="Vinni pajusti Gümnaasium"/>
    <x v="7"/>
    <x v="1"/>
    <x v="7"/>
    <m/>
    <m/>
    <x v="4"/>
    <x v="6"/>
    <m/>
    <m/>
    <n v="55000"/>
  </r>
  <r>
    <x v="586"/>
    <n v="800"/>
    <x v="8"/>
    <x v="3"/>
    <s v="Kinnistute, hoonete ja ruumide majandamiskulud"/>
    <s v="2"/>
    <x v="1"/>
    <m/>
    <m/>
    <s v="45"/>
    <s v="Vinni pajusti Gümnaasium"/>
    <x v="7"/>
    <x v="1"/>
    <x v="7"/>
    <m/>
    <m/>
    <x v="4"/>
    <x v="6"/>
    <m/>
    <m/>
    <n v="800"/>
  </r>
  <r>
    <x v="587"/>
    <n v="9920"/>
    <x v="8"/>
    <x v="3"/>
    <s v="Kinnistute, hoonete ja ruumide majandamiskulud"/>
    <s v="2"/>
    <x v="1"/>
    <m/>
    <m/>
    <s v="45"/>
    <s v="Vinni pajusti Gümnaasium"/>
    <x v="7"/>
    <x v="1"/>
    <x v="7"/>
    <m/>
    <m/>
    <x v="4"/>
    <x v="6"/>
    <m/>
    <m/>
    <n v="9920"/>
  </r>
  <r>
    <x v="588"/>
    <n v="9530"/>
    <x v="8"/>
    <x v="3"/>
    <s v="Kinnistute, hoonete ja ruumide majandamiskulud"/>
    <s v="2"/>
    <x v="1"/>
    <m/>
    <m/>
    <s v="45"/>
    <s v="Vinni pajusti Gümnaasium"/>
    <x v="7"/>
    <x v="1"/>
    <x v="7"/>
    <m/>
    <m/>
    <x v="4"/>
    <x v="6"/>
    <m/>
    <m/>
    <n v="9530"/>
  </r>
  <r>
    <x v="589"/>
    <n v="9200"/>
    <x v="8"/>
    <x v="3"/>
    <s v="Kinnistute, hoonete ja ruumide majandamiskulud"/>
    <s v="2"/>
    <x v="1"/>
    <m/>
    <m/>
    <s v="45"/>
    <s v="Vinni pajusti Gümnaasium"/>
    <x v="7"/>
    <x v="1"/>
    <x v="7"/>
    <m/>
    <m/>
    <x v="4"/>
    <x v="6"/>
    <m/>
    <m/>
    <n v="9200"/>
  </r>
  <r>
    <x v="590"/>
    <n v="1500"/>
    <x v="8"/>
    <x v="3"/>
    <s v="Kinnistute, hoonete ja ruumide majandamiskulud"/>
    <s v="2"/>
    <x v="1"/>
    <m/>
    <m/>
    <s v="45"/>
    <s v="Vinni pajusti Gümnaasium"/>
    <x v="7"/>
    <x v="1"/>
    <x v="7"/>
    <m/>
    <m/>
    <x v="4"/>
    <x v="6"/>
    <m/>
    <m/>
    <n v="1500"/>
  </r>
  <r>
    <x v="197"/>
    <n v="100"/>
    <x v="31"/>
    <x v="3"/>
    <s v="Koolituskulud (sh koolituslähetus)"/>
    <s v="2"/>
    <x v="1"/>
    <m/>
    <m/>
    <s v="54"/>
    <s v="Tudu Raamatukogu"/>
    <x v="27"/>
    <x v="2"/>
    <x v="27"/>
    <m/>
    <m/>
    <x v="4"/>
    <x v="5"/>
    <m/>
    <m/>
    <n v="100"/>
  </r>
  <r>
    <x v="591"/>
    <n v="800"/>
    <x v="9"/>
    <x v="3"/>
    <s v="Administreerimiskulud"/>
    <s v="2"/>
    <x v="1"/>
    <m/>
    <m/>
    <s v="54"/>
    <s v="Tudu Raamatukogu"/>
    <x v="27"/>
    <x v="2"/>
    <x v="27"/>
    <m/>
    <m/>
    <x v="4"/>
    <x v="5"/>
    <m/>
    <m/>
    <n v="800"/>
  </r>
  <r>
    <x v="592"/>
    <n v="1000"/>
    <x v="48"/>
    <x v="3"/>
    <s v="Teavikute ja kunstiesemete kulud"/>
    <s v="2"/>
    <x v="1"/>
    <m/>
    <m/>
    <s v="54"/>
    <s v="Tudu Raamatukogu"/>
    <x v="27"/>
    <x v="2"/>
    <x v="27"/>
    <m/>
    <m/>
    <x v="4"/>
    <x v="5"/>
    <m/>
    <m/>
    <n v="1000"/>
  </r>
  <r>
    <x v="202"/>
    <n v="132"/>
    <x v="28"/>
    <x v="3"/>
    <s v="Mitmesugused majanduskulud"/>
    <s v="2"/>
    <x v="1"/>
    <m/>
    <m/>
    <s v="55"/>
    <s v="Ulvi Raamatukogu"/>
    <x v="28"/>
    <x v="2"/>
    <x v="28"/>
    <m/>
    <m/>
    <x v="4"/>
    <x v="5"/>
    <m/>
    <m/>
    <n v="132"/>
  </r>
  <r>
    <x v="593"/>
    <n v="2000"/>
    <x v="25"/>
    <x v="3"/>
    <s v="Kommunikatsiooni-, kultuuri- ja vaba aja sisustamise kulud"/>
    <s v="2"/>
    <x v="1"/>
    <m/>
    <m/>
    <s v="55"/>
    <s v="Ulvi Raamatukogu"/>
    <x v="28"/>
    <x v="2"/>
    <x v="28"/>
    <m/>
    <m/>
    <x v="4"/>
    <x v="5"/>
    <m/>
    <m/>
    <n v="2000"/>
  </r>
  <r>
    <x v="594"/>
    <n v="120"/>
    <x v="9"/>
    <x v="3"/>
    <s v="Administreerimiskulud"/>
    <s v="2"/>
    <x v="1"/>
    <m/>
    <m/>
    <s v="55"/>
    <s v="Ulvi Raamatukogu"/>
    <x v="28"/>
    <x v="2"/>
    <x v="28"/>
    <m/>
    <m/>
    <x v="4"/>
    <x v="5"/>
    <m/>
    <m/>
    <n v="120"/>
  </r>
  <r>
    <x v="595"/>
    <n v="600"/>
    <x v="25"/>
    <x v="3"/>
    <s v="Kommunikatsiooni-, kultuuri- ja vaba aja sisustamise kulud"/>
    <s v="2"/>
    <x v="1"/>
    <m/>
    <m/>
    <s v="55"/>
    <s v="Ulvi Raamatukogu"/>
    <x v="28"/>
    <x v="2"/>
    <x v="28"/>
    <m/>
    <m/>
    <x v="4"/>
    <x v="5"/>
    <m/>
    <m/>
    <n v="600"/>
  </r>
  <r>
    <x v="592"/>
    <n v="3300"/>
    <x v="48"/>
    <x v="3"/>
    <s v="Teavikute ja kunstiesemete kulud"/>
    <s v="2"/>
    <x v="1"/>
    <m/>
    <m/>
    <s v="55"/>
    <s v="Ulvi Raamatukogu"/>
    <x v="28"/>
    <x v="2"/>
    <x v="28"/>
    <m/>
    <m/>
    <x v="4"/>
    <x v="5"/>
    <m/>
    <m/>
    <n v="3300"/>
  </r>
  <r>
    <x v="112"/>
    <n v="200"/>
    <x v="8"/>
    <x v="3"/>
    <s v="Kinnistute, hoonete ja ruumide majandamiskulud"/>
    <s v="2"/>
    <x v="1"/>
    <m/>
    <m/>
    <s v="55"/>
    <s v="Ulvi Raamatukogu"/>
    <x v="28"/>
    <x v="2"/>
    <x v="28"/>
    <m/>
    <m/>
    <x v="4"/>
    <x v="5"/>
    <m/>
    <m/>
    <n v="200"/>
  </r>
  <r>
    <x v="596"/>
    <n v="80"/>
    <x v="9"/>
    <x v="3"/>
    <s v="Administreerimiskulud"/>
    <s v="2"/>
    <x v="1"/>
    <m/>
    <m/>
    <s v="55"/>
    <s v="Ulvi Raamatukogu"/>
    <x v="28"/>
    <x v="2"/>
    <x v="28"/>
    <m/>
    <m/>
    <x v="4"/>
    <x v="5"/>
    <m/>
    <m/>
    <n v="80"/>
  </r>
  <r>
    <x v="591"/>
    <n v="1200"/>
    <x v="9"/>
    <x v="3"/>
    <s v="Administreerimiskulud"/>
    <s v="2"/>
    <x v="1"/>
    <m/>
    <m/>
    <s v="55"/>
    <s v="Ulvi Raamatukogu"/>
    <x v="28"/>
    <x v="2"/>
    <x v="28"/>
    <m/>
    <m/>
    <x v="4"/>
    <x v="5"/>
    <m/>
    <m/>
    <n v="1200"/>
  </r>
  <r>
    <x v="197"/>
    <n v="350"/>
    <x v="31"/>
    <x v="3"/>
    <s v="Koolituskulud (sh koolituslähetus)"/>
    <s v="2"/>
    <x v="1"/>
    <m/>
    <m/>
    <s v="55"/>
    <s v="Ulvi Raamatukogu"/>
    <x v="28"/>
    <x v="2"/>
    <x v="28"/>
    <m/>
    <m/>
    <x v="4"/>
    <x v="5"/>
    <m/>
    <m/>
    <n v="350"/>
  </r>
  <r>
    <x v="197"/>
    <n v="600"/>
    <x v="31"/>
    <x v="3"/>
    <s v="Koolituskulud (sh koolituslähetus)"/>
    <s v="2"/>
    <x v="1"/>
    <m/>
    <m/>
    <s v="24"/>
    <s v="Sotsiaalteenistus"/>
    <x v="14"/>
    <x v="4"/>
    <x v="14"/>
    <m/>
    <m/>
    <x v="4"/>
    <x v="10"/>
    <m/>
    <m/>
    <n v="600"/>
  </r>
  <r>
    <x v="597"/>
    <n v="2000"/>
    <x v="30"/>
    <x v="3"/>
    <s v="Sõidukite ülalpidamise kulud"/>
    <s v="2"/>
    <x v="1"/>
    <m/>
    <m/>
    <s v="24"/>
    <s v="Sotsiaalteenistus"/>
    <x v="14"/>
    <x v="4"/>
    <x v="14"/>
    <m/>
    <m/>
    <x v="4"/>
    <x v="10"/>
    <m/>
    <m/>
    <n v="2000"/>
  </r>
  <r>
    <x v="598"/>
    <n v="600"/>
    <x v="23"/>
    <x v="3"/>
    <s v="Sotsiaalteenused"/>
    <s v="2"/>
    <x v="1"/>
    <m/>
    <m/>
    <s v="24"/>
    <s v="Sotsiaalteenistus"/>
    <x v="31"/>
    <x v="4"/>
    <x v="31"/>
    <m/>
    <m/>
    <x v="4"/>
    <x v="18"/>
    <m/>
    <m/>
    <n v="600"/>
  </r>
  <r>
    <x v="314"/>
    <n v="300"/>
    <x v="25"/>
    <x v="3"/>
    <s v="Kommunikatsiooni-, kultuuri- ja vaba aja sisustamise kulud"/>
    <s v="2"/>
    <x v="1"/>
    <m/>
    <m/>
    <s v="27"/>
    <s v="Laekvere teeninduspiirkond"/>
    <x v="38"/>
    <x v="0"/>
    <x v="38"/>
    <m/>
    <m/>
    <x v="4"/>
    <x v="3"/>
    <m/>
    <m/>
    <n v="300"/>
  </r>
  <r>
    <x v="571"/>
    <n v="100"/>
    <x v="41"/>
    <x v="3"/>
    <s v="Meditsiinikulud ja hügieenikulud"/>
    <s v="2"/>
    <x v="1"/>
    <m/>
    <m/>
    <s v="27"/>
    <s v="Laekvere teeninduspiirkond"/>
    <x v="38"/>
    <x v="0"/>
    <x v="38"/>
    <m/>
    <m/>
    <x v="4"/>
    <x v="3"/>
    <m/>
    <m/>
    <n v="100"/>
  </r>
  <r>
    <x v="599"/>
    <n v="140"/>
    <x v="41"/>
    <x v="3"/>
    <s v="Meditsiinikulud ja hügieenikulud"/>
    <s v="2"/>
    <x v="1"/>
    <m/>
    <m/>
    <s v="27"/>
    <s v="Laekvere teeninduspiirkond"/>
    <x v="38"/>
    <x v="0"/>
    <x v="38"/>
    <m/>
    <m/>
    <x v="4"/>
    <x v="3"/>
    <m/>
    <m/>
    <n v="140"/>
  </r>
  <r>
    <x v="112"/>
    <n v="3500"/>
    <x v="8"/>
    <x v="3"/>
    <s v="Kinnistute, hoonete ja ruumide majandamiskulud"/>
    <s v="2"/>
    <x v="1"/>
    <m/>
    <m/>
    <s v="27"/>
    <s v="Laekvere teeninduspiirkond"/>
    <x v="38"/>
    <x v="0"/>
    <x v="38"/>
    <m/>
    <m/>
    <x v="4"/>
    <x v="3"/>
    <m/>
    <m/>
    <n v="3500"/>
  </r>
  <r>
    <x v="600"/>
    <n v="8000"/>
    <x v="8"/>
    <x v="3"/>
    <s v="Kinnistute, hoonete ja ruumide majandamiskulud"/>
    <s v="2"/>
    <x v="1"/>
    <m/>
    <m/>
    <s v="27"/>
    <s v="Laekvere teeninduspiirkond"/>
    <x v="38"/>
    <x v="0"/>
    <x v="38"/>
    <m/>
    <m/>
    <x v="4"/>
    <x v="3"/>
    <m/>
    <m/>
    <n v="8000"/>
  </r>
  <r>
    <x v="601"/>
    <n v="1000"/>
    <x v="8"/>
    <x v="3"/>
    <s v="Kinnistute, hoonete ja ruumide majandamiskulud"/>
    <s v="2"/>
    <x v="1"/>
    <m/>
    <m/>
    <s v="27"/>
    <s v="Laekvere teeninduspiirkond"/>
    <x v="38"/>
    <x v="0"/>
    <x v="38"/>
    <m/>
    <m/>
    <x v="4"/>
    <x v="3"/>
    <m/>
    <m/>
    <n v="1000"/>
  </r>
  <r>
    <x v="602"/>
    <n v="2000"/>
    <x v="8"/>
    <x v="3"/>
    <s v="Kinnistute, hoonete ja ruumide majandamiskulud"/>
    <s v="2"/>
    <x v="1"/>
    <m/>
    <m/>
    <s v="27"/>
    <s v="Laekvere teeninduspiirkond"/>
    <x v="38"/>
    <x v="0"/>
    <x v="38"/>
    <m/>
    <m/>
    <x v="4"/>
    <x v="3"/>
    <m/>
    <m/>
    <n v="2000"/>
  </r>
  <r>
    <x v="603"/>
    <n v="936"/>
    <x v="8"/>
    <x v="3"/>
    <s v="Kinnistute, hoonete ja ruumide majandamiskulud"/>
    <s v="2"/>
    <x v="1"/>
    <m/>
    <m/>
    <s v="27"/>
    <s v="Laekvere teeninduspiirkond"/>
    <x v="38"/>
    <x v="0"/>
    <x v="38"/>
    <m/>
    <m/>
    <x v="4"/>
    <x v="3"/>
    <m/>
    <m/>
    <n v="936"/>
  </r>
  <r>
    <x v="211"/>
    <n v="1000"/>
    <x v="30"/>
    <x v="3"/>
    <s v="Sõidukite ülalpidamise kulud"/>
    <s v="2"/>
    <x v="1"/>
    <m/>
    <m/>
    <s v="27"/>
    <s v="Laekvere teeninduspiirkond"/>
    <x v="38"/>
    <x v="0"/>
    <x v="38"/>
    <m/>
    <m/>
    <x v="4"/>
    <x v="3"/>
    <m/>
    <m/>
    <n v="1000"/>
  </r>
  <r>
    <x v="604"/>
    <n v="560"/>
    <x v="30"/>
    <x v="3"/>
    <s v="Sõidukite ülalpidamise kulud"/>
    <s v="2"/>
    <x v="1"/>
    <m/>
    <m/>
    <s v="27"/>
    <s v="Laekvere teeninduspiirkond"/>
    <x v="38"/>
    <x v="0"/>
    <x v="38"/>
    <m/>
    <m/>
    <x v="4"/>
    <x v="3"/>
    <m/>
    <m/>
    <n v="560"/>
  </r>
  <r>
    <x v="116"/>
    <n v="1150"/>
    <x v="11"/>
    <x v="3"/>
    <s v="Kütus"/>
    <s v="2"/>
    <x v="1"/>
    <m/>
    <m/>
    <s v="27"/>
    <s v="Laekvere teeninduspiirkond"/>
    <x v="38"/>
    <x v="0"/>
    <x v="38"/>
    <m/>
    <m/>
    <x v="4"/>
    <x v="3"/>
    <m/>
    <m/>
    <n v="1150"/>
  </r>
  <r>
    <x v="605"/>
    <n v="300"/>
    <x v="29"/>
    <x v="3"/>
    <s v="Inventari majandamiskulud"/>
    <s v="2"/>
    <x v="1"/>
    <m/>
    <m/>
    <s v="27"/>
    <s v="Laekvere teeninduspiirkond"/>
    <x v="38"/>
    <x v="0"/>
    <x v="38"/>
    <m/>
    <m/>
    <x v="4"/>
    <x v="3"/>
    <m/>
    <m/>
    <n v="300"/>
  </r>
  <r>
    <x v="606"/>
    <n v="300"/>
    <x v="29"/>
    <x v="3"/>
    <s v="Inventari majandamiskulud"/>
    <s v="2"/>
    <x v="1"/>
    <m/>
    <m/>
    <s v="27"/>
    <s v="Laekvere teeninduspiirkond"/>
    <x v="38"/>
    <x v="0"/>
    <x v="38"/>
    <m/>
    <m/>
    <x v="4"/>
    <x v="3"/>
    <m/>
    <m/>
    <n v="300"/>
  </r>
  <r>
    <x v="607"/>
    <n v="600"/>
    <x v="29"/>
    <x v="3"/>
    <s v="Inventari majandamiskulud"/>
    <s v="2"/>
    <x v="1"/>
    <m/>
    <m/>
    <s v="27"/>
    <s v="Laekvere teeninduspiirkond"/>
    <x v="38"/>
    <x v="0"/>
    <x v="38"/>
    <m/>
    <m/>
    <x v="4"/>
    <x v="3"/>
    <m/>
    <m/>
    <n v="600"/>
  </r>
  <r>
    <x v="608"/>
    <n v="1000"/>
    <x v="29"/>
    <x v="3"/>
    <s v="Inventari majandamiskulud"/>
    <s v="2"/>
    <x v="1"/>
    <m/>
    <m/>
    <s v="27"/>
    <s v="Laekvere teeninduspiirkond"/>
    <x v="38"/>
    <x v="0"/>
    <x v="38"/>
    <m/>
    <m/>
    <x v="4"/>
    <x v="3"/>
    <m/>
    <m/>
    <n v="1000"/>
  </r>
  <r>
    <x v="609"/>
    <n v="1650"/>
    <x v="47"/>
    <x v="3"/>
    <s v="Eri- ja vormiriietus (va kaitseotstarbelised kulud)"/>
    <s v="2"/>
    <x v="1"/>
    <m/>
    <m/>
    <s v="27"/>
    <s v="Laekvere teeninduspiirkond"/>
    <x v="38"/>
    <x v="0"/>
    <x v="38"/>
    <m/>
    <m/>
    <x v="4"/>
    <x v="3"/>
    <m/>
    <m/>
    <n v="1650"/>
  </r>
  <r>
    <x v="197"/>
    <n v="350"/>
    <x v="31"/>
    <x v="3"/>
    <s v="Koolituskulud (sh koolituslähetus)"/>
    <s v="2"/>
    <x v="1"/>
    <m/>
    <m/>
    <s v="27"/>
    <s v="Laekvere teeninduspiirkond"/>
    <x v="38"/>
    <x v="0"/>
    <x v="38"/>
    <m/>
    <m/>
    <x v="4"/>
    <x v="3"/>
    <m/>
    <m/>
    <n v="350"/>
  </r>
  <r>
    <x v="610"/>
    <n v="620"/>
    <x v="9"/>
    <x v="3"/>
    <s v="Administreerimiskulud"/>
    <s v="2"/>
    <x v="1"/>
    <m/>
    <m/>
    <s v="27"/>
    <s v="Laekvere teeninduspiirkond"/>
    <x v="38"/>
    <x v="0"/>
    <x v="38"/>
    <m/>
    <m/>
    <x v="4"/>
    <x v="3"/>
    <m/>
    <m/>
    <n v="620"/>
  </r>
  <r>
    <x v="611"/>
    <n v="3000"/>
    <x v="17"/>
    <x v="2"/>
    <s v="Töötasud võlaõiguslike lepingute alusel"/>
    <s v="2"/>
    <x v="1"/>
    <m/>
    <m/>
    <s v="27"/>
    <s v="Laekvere teeninduspiirkond"/>
    <x v="38"/>
    <x v="0"/>
    <x v="38"/>
    <m/>
    <m/>
    <x v="3"/>
    <x v="3"/>
    <m/>
    <m/>
    <n v="3000"/>
  </r>
  <r>
    <x v="117"/>
    <n v="2500"/>
    <x v="17"/>
    <x v="2"/>
    <s v="Töötasud võlaõiguslike lepingute alusel"/>
    <s v="2"/>
    <x v="1"/>
    <m/>
    <m/>
    <s v="27"/>
    <s v="Laekvere teeninduspiirkond"/>
    <x v="38"/>
    <x v="0"/>
    <x v="38"/>
    <m/>
    <m/>
    <x v="3"/>
    <x v="3"/>
    <m/>
    <m/>
    <n v="2500"/>
  </r>
  <r>
    <x v="612"/>
    <n v="100"/>
    <x v="8"/>
    <x v="3"/>
    <s v="Kinnistute, hoonete ja ruumide majandamiskulud"/>
    <s v="2"/>
    <x v="1"/>
    <m/>
    <m/>
    <s v="24"/>
    <s v="Sotsiaalteenistus"/>
    <x v="39"/>
    <x v="4"/>
    <x v="39"/>
    <m/>
    <m/>
    <x v="4"/>
    <x v="21"/>
    <m/>
    <m/>
    <n v="100"/>
  </r>
  <r>
    <x v="613"/>
    <n v="6000"/>
    <x v="30"/>
    <x v="3"/>
    <s v="Sõidukite ülalpidamise kulud"/>
    <s v="2"/>
    <x v="1"/>
    <m/>
    <m/>
    <s v="24"/>
    <s v="Sotsiaalteenistus"/>
    <x v="39"/>
    <x v="4"/>
    <x v="39"/>
    <m/>
    <m/>
    <x v="4"/>
    <x v="21"/>
    <m/>
    <m/>
    <n v="6000"/>
  </r>
  <r>
    <x v="614"/>
    <n v="300"/>
    <x v="10"/>
    <x v="3"/>
    <s v="Info- ja kommunikatsioonitehnoloogia kulud"/>
    <s v="2"/>
    <x v="1"/>
    <m/>
    <m/>
    <s v="24"/>
    <s v="Sotsiaalteenistus"/>
    <x v="39"/>
    <x v="4"/>
    <x v="39"/>
    <m/>
    <m/>
    <x v="4"/>
    <x v="21"/>
    <m/>
    <m/>
    <n v="300"/>
  </r>
  <r>
    <x v="615"/>
    <n v="900"/>
    <x v="29"/>
    <x v="3"/>
    <s v="Inventari majandamiskulud"/>
    <s v="2"/>
    <x v="1"/>
    <m/>
    <m/>
    <s v="24"/>
    <s v="Sotsiaalteenistus"/>
    <x v="39"/>
    <x v="4"/>
    <x v="39"/>
    <m/>
    <m/>
    <x v="4"/>
    <x v="21"/>
    <m/>
    <m/>
    <n v="900"/>
  </r>
  <r>
    <x v="552"/>
    <n v="100"/>
    <x v="25"/>
    <x v="3"/>
    <s v="Kommunikatsiooni-, kultuuri- ja vaba aja sisustamise kulud"/>
    <s v="2"/>
    <x v="1"/>
    <m/>
    <m/>
    <s v="41"/>
    <s v="Muuga-Laekvere Kool"/>
    <x v="40"/>
    <x v="1"/>
    <x v="40"/>
    <m/>
    <m/>
    <x v="4"/>
    <x v="6"/>
    <m/>
    <m/>
    <n v="100"/>
  </r>
  <r>
    <x v="616"/>
    <n v="150"/>
    <x v="25"/>
    <x v="3"/>
    <s v="Kommunikatsiooni-, kultuuri- ja vaba aja sisustamise kulud"/>
    <s v="2"/>
    <x v="1"/>
    <m/>
    <m/>
    <s v="41"/>
    <s v="Muuga-Laekvere Kool"/>
    <x v="40"/>
    <x v="1"/>
    <x v="40"/>
    <m/>
    <m/>
    <x v="4"/>
    <x v="6"/>
    <m/>
    <m/>
    <n v="150"/>
  </r>
  <r>
    <x v="547"/>
    <n v="3288"/>
    <x v="15"/>
    <x v="3"/>
    <s v="Õppevahendite ja koolituse kulud"/>
    <s v="2"/>
    <x v="1"/>
    <m/>
    <m/>
    <s v="41"/>
    <s v="Muuga-Laekvere Kool"/>
    <x v="40"/>
    <x v="1"/>
    <x v="40"/>
    <m/>
    <m/>
    <x v="4"/>
    <x v="6"/>
    <m/>
    <m/>
    <n v="3288"/>
  </r>
  <r>
    <x v="548"/>
    <n v="100"/>
    <x v="15"/>
    <x v="3"/>
    <s v="Õppevahendite ja koolituse kulud"/>
    <s v="2"/>
    <x v="1"/>
    <m/>
    <m/>
    <s v="41"/>
    <s v="Muuga-Laekvere Kool"/>
    <x v="40"/>
    <x v="1"/>
    <x v="40"/>
    <m/>
    <m/>
    <x v="4"/>
    <x v="6"/>
    <m/>
    <m/>
    <n v="100"/>
  </r>
  <r>
    <x v="550"/>
    <n v="500"/>
    <x v="15"/>
    <x v="3"/>
    <s v="Õppevahendite ja koolituse kulud"/>
    <s v="2"/>
    <x v="1"/>
    <m/>
    <m/>
    <s v="41"/>
    <s v="Muuga-Laekvere Kool"/>
    <x v="40"/>
    <x v="1"/>
    <x v="40"/>
    <m/>
    <m/>
    <x v="4"/>
    <x v="6"/>
    <m/>
    <m/>
    <n v="500"/>
  </r>
  <r>
    <x v="617"/>
    <n v="300"/>
    <x v="41"/>
    <x v="3"/>
    <s v="Meditsiinikulud ja hügieenikulud"/>
    <s v="2"/>
    <x v="1"/>
    <m/>
    <m/>
    <s v="41"/>
    <s v="Muuga-Laekvere Kool"/>
    <x v="40"/>
    <x v="1"/>
    <x v="40"/>
    <m/>
    <m/>
    <x v="4"/>
    <x v="6"/>
    <m/>
    <m/>
    <n v="300"/>
  </r>
  <r>
    <x v="618"/>
    <n v="500"/>
    <x v="41"/>
    <x v="3"/>
    <s v="Meditsiinikulud ja hügieenikulud"/>
    <s v="2"/>
    <x v="1"/>
    <m/>
    <m/>
    <s v="41"/>
    <s v="Muuga-Laekvere Kool"/>
    <x v="40"/>
    <x v="1"/>
    <x v="40"/>
    <m/>
    <m/>
    <x v="4"/>
    <x v="6"/>
    <m/>
    <m/>
    <n v="500"/>
  </r>
  <r>
    <x v="619"/>
    <n v="600"/>
    <x v="41"/>
    <x v="3"/>
    <s v="Meditsiinikulud ja hügieenikulud"/>
    <s v="2"/>
    <x v="1"/>
    <m/>
    <m/>
    <s v="41"/>
    <s v="Muuga-Laekvere Kool"/>
    <x v="40"/>
    <x v="1"/>
    <x v="40"/>
    <m/>
    <m/>
    <x v="4"/>
    <x v="6"/>
    <m/>
    <m/>
    <n v="600"/>
  </r>
  <r>
    <x v="546"/>
    <n v="100"/>
    <x v="41"/>
    <x v="3"/>
    <s v="Meditsiinikulud ja hügieenikulud"/>
    <s v="2"/>
    <x v="1"/>
    <m/>
    <m/>
    <s v="41"/>
    <s v="Muuga-Laekvere Kool"/>
    <x v="40"/>
    <x v="1"/>
    <x v="40"/>
    <m/>
    <m/>
    <x v="4"/>
    <x v="6"/>
    <m/>
    <m/>
    <n v="100"/>
  </r>
  <r>
    <x v="620"/>
    <n v="500"/>
    <x v="29"/>
    <x v="3"/>
    <s v="Inventari majandamiskulud"/>
    <s v="2"/>
    <x v="1"/>
    <m/>
    <m/>
    <s v="41"/>
    <s v="Muuga-Laekvere Kool"/>
    <x v="40"/>
    <x v="1"/>
    <x v="40"/>
    <m/>
    <m/>
    <x v="4"/>
    <x v="6"/>
    <m/>
    <m/>
    <n v="500"/>
  </r>
  <r>
    <x v="544"/>
    <n v="1500"/>
    <x v="29"/>
    <x v="3"/>
    <s v="Inventari majandamiskulud"/>
    <s v="2"/>
    <x v="1"/>
    <m/>
    <m/>
    <s v="41"/>
    <s v="Muuga-Laekvere Kool"/>
    <x v="40"/>
    <x v="1"/>
    <x v="40"/>
    <m/>
    <m/>
    <x v="4"/>
    <x v="6"/>
    <m/>
    <m/>
    <n v="1500"/>
  </r>
  <r>
    <x v="542"/>
    <n v="300"/>
    <x v="10"/>
    <x v="3"/>
    <s v="Info- ja kommunikatsioonitehnoloogia kulud"/>
    <s v="2"/>
    <x v="1"/>
    <m/>
    <m/>
    <s v="41"/>
    <s v="Muuga-Laekvere Kool"/>
    <x v="40"/>
    <x v="1"/>
    <x v="40"/>
    <m/>
    <m/>
    <x v="4"/>
    <x v="6"/>
    <m/>
    <m/>
    <n v="300"/>
  </r>
  <r>
    <x v="543"/>
    <n v="600"/>
    <x v="10"/>
    <x v="3"/>
    <s v="Info- ja kommunikatsioonitehnoloogia kulud"/>
    <s v="2"/>
    <x v="1"/>
    <m/>
    <m/>
    <s v="41"/>
    <s v="Muuga-Laekvere Kool"/>
    <x v="40"/>
    <x v="1"/>
    <x v="40"/>
    <m/>
    <m/>
    <x v="4"/>
    <x v="6"/>
    <m/>
    <m/>
    <n v="600"/>
  </r>
  <r>
    <x v="621"/>
    <n v="500"/>
    <x v="10"/>
    <x v="3"/>
    <s v="Info- ja kommunikatsioonitehnoloogia kulud"/>
    <s v="2"/>
    <x v="1"/>
    <m/>
    <m/>
    <s v="41"/>
    <s v="Muuga-Laekvere Kool"/>
    <x v="40"/>
    <x v="1"/>
    <x v="40"/>
    <m/>
    <m/>
    <x v="4"/>
    <x v="6"/>
    <m/>
    <m/>
    <n v="500"/>
  </r>
  <r>
    <x v="427"/>
    <n v="500"/>
    <x v="8"/>
    <x v="3"/>
    <s v="Kinnistute, hoonete ja ruumide majandamiskulud"/>
    <s v="2"/>
    <x v="1"/>
    <m/>
    <m/>
    <s v="41"/>
    <s v="Muuga-Laekvere Kool"/>
    <x v="40"/>
    <x v="1"/>
    <x v="40"/>
    <m/>
    <m/>
    <x v="4"/>
    <x v="6"/>
    <m/>
    <m/>
    <n v="500"/>
  </r>
  <r>
    <x v="622"/>
    <n v="200"/>
    <x v="8"/>
    <x v="3"/>
    <s v="Kinnistute, hoonete ja ruumide majandamiskulud"/>
    <s v="2"/>
    <x v="1"/>
    <m/>
    <m/>
    <s v="41"/>
    <s v="Muuga-Laekvere Kool"/>
    <x v="40"/>
    <x v="1"/>
    <x v="40"/>
    <m/>
    <m/>
    <x v="4"/>
    <x v="6"/>
    <m/>
    <m/>
    <n v="200"/>
  </r>
  <r>
    <x v="112"/>
    <n v="2000"/>
    <x v="8"/>
    <x v="3"/>
    <s v="Kinnistute, hoonete ja ruumide majandamiskulud"/>
    <s v="2"/>
    <x v="1"/>
    <m/>
    <m/>
    <s v="41"/>
    <s v="Muuga-Laekvere Kool"/>
    <x v="40"/>
    <x v="1"/>
    <x v="40"/>
    <m/>
    <m/>
    <x v="4"/>
    <x v="6"/>
    <m/>
    <m/>
    <n v="2000"/>
  </r>
  <r>
    <x v="536"/>
    <n v="100"/>
    <x v="9"/>
    <x v="3"/>
    <s v="Administreerimiskulud"/>
    <s v="2"/>
    <x v="1"/>
    <m/>
    <m/>
    <s v="41"/>
    <s v="Muuga-Laekvere Kool"/>
    <x v="40"/>
    <x v="1"/>
    <x v="40"/>
    <m/>
    <m/>
    <x v="4"/>
    <x v="6"/>
    <m/>
    <m/>
    <n v="100"/>
  </r>
  <r>
    <x v="623"/>
    <n v="50"/>
    <x v="9"/>
    <x v="3"/>
    <s v="Administreerimiskulud"/>
    <s v="2"/>
    <x v="1"/>
    <m/>
    <m/>
    <s v="41"/>
    <s v="Muuga-Laekvere Kool"/>
    <x v="40"/>
    <x v="1"/>
    <x v="40"/>
    <m/>
    <m/>
    <x v="4"/>
    <x v="6"/>
    <m/>
    <m/>
    <n v="50"/>
  </r>
  <r>
    <x v="624"/>
    <n v="100"/>
    <x v="9"/>
    <x v="3"/>
    <s v="Administreerimiskulud"/>
    <s v="2"/>
    <x v="1"/>
    <m/>
    <m/>
    <s v="41"/>
    <s v="Muuga-Laekvere Kool"/>
    <x v="40"/>
    <x v="1"/>
    <x v="40"/>
    <m/>
    <m/>
    <x v="4"/>
    <x v="6"/>
    <m/>
    <m/>
    <n v="100"/>
  </r>
  <r>
    <x v="625"/>
    <n v="150"/>
    <x v="9"/>
    <x v="3"/>
    <s v="Administreerimiskulud"/>
    <s v="2"/>
    <x v="1"/>
    <m/>
    <m/>
    <s v="41"/>
    <s v="Muuga-Laekvere Kool"/>
    <x v="40"/>
    <x v="1"/>
    <x v="40"/>
    <m/>
    <m/>
    <x v="4"/>
    <x v="6"/>
    <m/>
    <m/>
    <n v="150"/>
  </r>
  <r>
    <x v="173"/>
    <n v="350"/>
    <x v="9"/>
    <x v="3"/>
    <s v="Administreerimiskulud"/>
    <s v="2"/>
    <x v="1"/>
    <m/>
    <m/>
    <s v="41"/>
    <s v="Muuga-Laekvere Kool"/>
    <x v="40"/>
    <x v="1"/>
    <x v="40"/>
    <m/>
    <m/>
    <x v="4"/>
    <x v="6"/>
    <m/>
    <m/>
    <n v="350"/>
  </r>
  <r>
    <x v="626"/>
    <n v="50"/>
    <x v="9"/>
    <x v="3"/>
    <s v="Administreerimiskulud"/>
    <s v="2"/>
    <x v="1"/>
    <m/>
    <m/>
    <s v="41"/>
    <s v="Muuga-Laekvere Kool"/>
    <x v="40"/>
    <x v="1"/>
    <x v="40"/>
    <m/>
    <m/>
    <x v="4"/>
    <x v="6"/>
    <m/>
    <m/>
    <n v="50"/>
  </r>
  <r>
    <x v="627"/>
    <n v="150"/>
    <x v="9"/>
    <x v="3"/>
    <s v="Administreerimiskulud"/>
    <s v="2"/>
    <x v="1"/>
    <m/>
    <m/>
    <s v="41"/>
    <s v="Muuga-Laekvere Kool"/>
    <x v="40"/>
    <x v="1"/>
    <x v="40"/>
    <m/>
    <m/>
    <x v="4"/>
    <x v="6"/>
    <m/>
    <m/>
    <n v="150"/>
  </r>
  <r>
    <x v="537"/>
    <n v="400"/>
    <x v="9"/>
    <x v="3"/>
    <s v="Administreerimiskulud"/>
    <s v="2"/>
    <x v="1"/>
    <m/>
    <m/>
    <s v="41"/>
    <s v="Muuga-Laekvere Kool"/>
    <x v="40"/>
    <x v="1"/>
    <x v="40"/>
    <m/>
    <m/>
    <x v="4"/>
    <x v="6"/>
    <m/>
    <m/>
    <n v="400"/>
  </r>
  <r>
    <x v="197"/>
    <n v="1800"/>
    <x v="31"/>
    <x v="3"/>
    <s v="Koolituskulud (sh koolituslähetus)"/>
    <s v="2"/>
    <x v="1"/>
    <m/>
    <m/>
    <s v="41"/>
    <s v="Muuga-Laekvere Kool"/>
    <x v="40"/>
    <x v="1"/>
    <x v="40"/>
    <m/>
    <m/>
    <x v="4"/>
    <x v="6"/>
    <m/>
    <m/>
    <n v="1800"/>
  </r>
  <r>
    <x v="628"/>
    <m/>
    <x v="8"/>
    <x v="3"/>
    <s v="Kinnistute, hoonete ja ruumide majandamiskulud"/>
    <s v="2"/>
    <x v="1"/>
    <m/>
    <m/>
    <s v="41"/>
    <s v="Muuga-Laekvere Kool"/>
    <x v="40"/>
    <x v="1"/>
    <x v="40"/>
    <m/>
    <m/>
    <x v="4"/>
    <x v="6"/>
    <m/>
    <m/>
    <n v="0"/>
  </r>
  <r>
    <x v="538"/>
    <n v="600"/>
    <x v="9"/>
    <x v="3"/>
    <s v="Administreerimiskulud"/>
    <s v="2"/>
    <x v="1"/>
    <m/>
    <m/>
    <s v="41"/>
    <s v="Muuga-Laekvere Kool"/>
    <x v="40"/>
    <x v="1"/>
    <x v="40"/>
    <m/>
    <m/>
    <x v="4"/>
    <x v="6"/>
    <m/>
    <m/>
    <n v="600"/>
  </r>
  <r>
    <x v="314"/>
    <n v="350"/>
    <x v="25"/>
    <x v="3"/>
    <s v="Kommunikatsiooni-, kultuuri- ja vaba aja sisustamise kulud"/>
    <s v="2"/>
    <x v="1"/>
    <m/>
    <m/>
    <s v="53"/>
    <s v="Roela Raamatukogu"/>
    <x v="41"/>
    <x v="2"/>
    <x v="41"/>
    <m/>
    <m/>
    <x v="4"/>
    <x v="5"/>
    <m/>
    <m/>
    <n v="350"/>
  </r>
  <r>
    <x v="592"/>
    <n v="4000"/>
    <x v="48"/>
    <x v="3"/>
    <s v="Teavikute ja kunstiesemete kulud"/>
    <s v="2"/>
    <x v="1"/>
    <m/>
    <m/>
    <s v="53"/>
    <s v="Roela Raamatukogu"/>
    <x v="41"/>
    <x v="2"/>
    <x v="41"/>
    <m/>
    <m/>
    <x v="4"/>
    <x v="5"/>
    <m/>
    <m/>
    <n v="4000"/>
  </r>
  <r>
    <x v="571"/>
    <n v="46"/>
    <x v="41"/>
    <x v="3"/>
    <s v="Meditsiinikulud ja hügieenikulud"/>
    <s v="2"/>
    <x v="1"/>
    <m/>
    <m/>
    <s v="53"/>
    <s v="Roela Raamatukogu"/>
    <x v="41"/>
    <x v="2"/>
    <x v="41"/>
    <m/>
    <m/>
    <x v="4"/>
    <x v="5"/>
    <m/>
    <m/>
    <n v="46"/>
  </r>
  <r>
    <x v="533"/>
    <n v="300"/>
    <x v="29"/>
    <x v="3"/>
    <s v="Inventari majandamiskulud"/>
    <s v="2"/>
    <x v="1"/>
    <m/>
    <m/>
    <s v="53"/>
    <s v="Roela Raamatukogu"/>
    <x v="41"/>
    <x v="2"/>
    <x v="41"/>
    <m/>
    <m/>
    <x v="4"/>
    <x v="5"/>
    <m/>
    <m/>
    <n v="300"/>
  </r>
  <r>
    <x v="64"/>
    <n v="300"/>
    <x v="8"/>
    <x v="3"/>
    <s v="Kinnistute, hoonete ja ruumide majandamiskulud"/>
    <s v="2"/>
    <x v="1"/>
    <m/>
    <m/>
    <s v="53"/>
    <s v="Roela Raamatukogu"/>
    <x v="41"/>
    <x v="2"/>
    <x v="41"/>
    <m/>
    <m/>
    <x v="4"/>
    <x v="5"/>
    <m/>
    <m/>
    <n v="300"/>
  </r>
  <r>
    <x v="197"/>
    <n v="350"/>
    <x v="31"/>
    <x v="3"/>
    <s v="Koolituskulud (sh koolituslähetus)"/>
    <s v="2"/>
    <x v="1"/>
    <m/>
    <m/>
    <s v="53"/>
    <s v="Roela Raamatukogu"/>
    <x v="41"/>
    <x v="2"/>
    <x v="41"/>
    <m/>
    <m/>
    <x v="4"/>
    <x v="5"/>
    <m/>
    <m/>
    <n v="350"/>
  </r>
  <r>
    <x v="629"/>
    <n v="1.1000000000000001"/>
    <x v="9"/>
    <x v="3"/>
    <s v="Administreerimiskulud"/>
    <s v="2"/>
    <x v="1"/>
    <m/>
    <m/>
    <s v="53"/>
    <s v="Roela Raamatukogu"/>
    <x v="41"/>
    <x v="2"/>
    <x v="41"/>
    <m/>
    <m/>
    <x v="4"/>
    <x v="5"/>
    <m/>
    <m/>
    <n v="1.1000000000000001"/>
  </r>
  <r>
    <x v="630"/>
    <n v="21000"/>
    <x v="5"/>
    <x v="3"/>
    <s v="Küte ja soojusenergia"/>
    <s v="2"/>
    <x v="1"/>
    <m/>
    <m/>
    <s v="280"/>
    <s v="Roela, Tudu, Viru-Jaagupi teeninduspiirkond"/>
    <x v="42"/>
    <x v="0"/>
    <x v="42"/>
    <m/>
    <m/>
    <x v="4"/>
    <x v="3"/>
    <m/>
    <m/>
    <n v="21000"/>
  </r>
  <r>
    <x v="197"/>
    <n v="300"/>
    <x v="31"/>
    <x v="3"/>
    <s v="Koolituskulud (sh koolituslähetus)"/>
    <s v="2"/>
    <x v="1"/>
    <m/>
    <m/>
    <s v="280"/>
    <s v="Roela, Tudu, Viru-Jaagupi teeninduspiirkond"/>
    <x v="42"/>
    <x v="0"/>
    <x v="42"/>
    <m/>
    <m/>
    <x v="4"/>
    <x v="3"/>
    <m/>
    <m/>
    <n v="300"/>
  </r>
  <r>
    <x v="631"/>
    <n v="800"/>
    <x v="3"/>
    <x v="2"/>
    <s v="Töötajate töötasud"/>
    <s v="2"/>
    <x v="1"/>
    <m/>
    <m/>
    <s v="280"/>
    <s v="Roela, Tudu, Viru-Jaagupi teeninduspiirkond"/>
    <x v="42"/>
    <x v="0"/>
    <x v="42"/>
    <m/>
    <m/>
    <x v="3"/>
    <x v="3"/>
    <m/>
    <m/>
    <n v="800"/>
  </r>
  <r>
    <x v="632"/>
    <n v="1000"/>
    <x v="8"/>
    <x v="3"/>
    <s v="Kinnistute, hoonete ja ruumide majandamiskulud"/>
    <s v="2"/>
    <x v="1"/>
    <m/>
    <m/>
    <s v="280"/>
    <s v="Roela, Tudu, Viru-Jaagupi teeninduspiirkond"/>
    <x v="42"/>
    <x v="0"/>
    <x v="42"/>
    <m/>
    <m/>
    <x v="4"/>
    <x v="3"/>
    <m/>
    <m/>
    <n v="1000"/>
  </r>
  <r>
    <x v="633"/>
    <n v="14000"/>
    <x v="8"/>
    <x v="3"/>
    <s v="Kinnistute, hoonete ja ruumide majandamiskulud"/>
    <s v="2"/>
    <x v="1"/>
    <m/>
    <m/>
    <s v="280"/>
    <s v="Roela, Tudu, Viru-Jaagupi teeninduspiirkond"/>
    <x v="42"/>
    <x v="0"/>
    <x v="42"/>
    <m/>
    <m/>
    <x v="4"/>
    <x v="3"/>
    <m/>
    <m/>
    <n v="14000"/>
  </r>
  <r>
    <x v="232"/>
    <n v="1500"/>
    <x v="8"/>
    <x v="3"/>
    <s v="Kinnistute, hoonete ja ruumide majandamiskulud"/>
    <s v="2"/>
    <x v="1"/>
    <m/>
    <m/>
    <s v="280"/>
    <s v="Roela, Tudu, Viru-Jaagupi teeninduspiirkond"/>
    <x v="42"/>
    <x v="0"/>
    <x v="42"/>
    <m/>
    <m/>
    <x v="4"/>
    <x v="3"/>
    <m/>
    <m/>
    <n v="1500"/>
  </r>
  <r>
    <x v="634"/>
    <n v="12500"/>
    <x v="8"/>
    <x v="3"/>
    <s v="Kinnistute, hoonete ja ruumide majandamiskulud"/>
    <s v="2"/>
    <x v="1"/>
    <m/>
    <m/>
    <s v="280"/>
    <s v="Roela, Tudu, Viru-Jaagupi teeninduspiirkond"/>
    <x v="42"/>
    <x v="0"/>
    <x v="42"/>
    <m/>
    <m/>
    <x v="4"/>
    <x v="3"/>
    <m/>
    <m/>
    <n v="12500"/>
  </r>
  <r>
    <x v="635"/>
    <n v="250"/>
    <x v="8"/>
    <x v="3"/>
    <s v="Kinnistute, hoonete ja ruumide majandamiskulud"/>
    <s v="2"/>
    <x v="1"/>
    <m/>
    <m/>
    <s v="280"/>
    <s v="Roela, Tudu, Viru-Jaagupi teeninduspiirkond"/>
    <x v="42"/>
    <x v="0"/>
    <x v="42"/>
    <m/>
    <m/>
    <x v="4"/>
    <x v="3"/>
    <m/>
    <m/>
    <n v="250"/>
  </r>
  <r>
    <x v="601"/>
    <n v="600"/>
    <x v="8"/>
    <x v="3"/>
    <s v="Kinnistute, hoonete ja ruumide majandamiskulud"/>
    <s v="2"/>
    <x v="1"/>
    <m/>
    <m/>
    <s v="280"/>
    <s v="Roela, Tudu, Viru-Jaagupi teeninduspiirkond"/>
    <x v="42"/>
    <x v="0"/>
    <x v="42"/>
    <m/>
    <m/>
    <x v="4"/>
    <x v="3"/>
    <m/>
    <m/>
    <n v="600"/>
  </r>
  <r>
    <x v="636"/>
    <n v="800"/>
    <x v="30"/>
    <x v="3"/>
    <s v="Sõidukite ülalpidamise kulud"/>
    <s v="2"/>
    <x v="1"/>
    <m/>
    <m/>
    <s v="280"/>
    <s v="Roela, Tudu, Viru-Jaagupi teeninduspiirkond"/>
    <x v="42"/>
    <x v="0"/>
    <x v="42"/>
    <m/>
    <m/>
    <x v="4"/>
    <x v="3"/>
    <m/>
    <m/>
    <n v="800"/>
  </r>
  <r>
    <x v="637"/>
    <n v="500"/>
    <x v="30"/>
    <x v="3"/>
    <s v="Sõidukite ülalpidamise kulud"/>
    <s v="2"/>
    <x v="1"/>
    <m/>
    <m/>
    <s v="280"/>
    <s v="Roela, Tudu, Viru-Jaagupi teeninduspiirkond"/>
    <x v="42"/>
    <x v="0"/>
    <x v="42"/>
    <m/>
    <m/>
    <x v="4"/>
    <x v="3"/>
    <m/>
    <m/>
    <n v="500"/>
  </r>
  <r>
    <x v="203"/>
    <n v="450"/>
    <x v="12"/>
    <x v="3"/>
    <s v="Kindlustus"/>
    <s v="2"/>
    <x v="1"/>
    <m/>
    <m/>
    <s v="280"/>
    <s v="Roela, Tudu, Viru-Jaagupi teeninduspiirkond"/>
    <x v="42"/>
    <x v="0"/>
    <x v="42"/>
    <m/>
    <m/>
    <x v="4"/>
    <x v="3"/>
    <m/>
    <m/>
    <n v="450"/>
  </r>
  <r>
    <x v="638"/>
    <n v="3000"/>
    <x v="29"/>
    <x v="3"/>
    <s v="Inventari majandamiskulud"/>
    <s v="2"/>
    <x v="1"/>
    <m/>
    <m/>
    <s v="280"/>
    <s v="Roela, Tudu, Viru-Jaagupi teeninduspiirkond"/>
    <x v="42"/>
    <x v="0"/>
    <x v="42"/>
    <m/>
    <m/>
    <x v="4"/>
    <x v="3"/>
    <m/>
    <m/>
    <n v="3000"/>
  </r>
  <r>
    <x v="639"/>
    <n v="3000"/>
    <x v="5"/>
    <x v="3"/>
    <s v="Küte ja soojusenergia"/>
    <s v="2"/>
    <x v="1"/>
    <m/>
    <m/>
    <s v="280"/>
    <s v="Roela, Tudu, Viru-Jaagupi teeninduspiirkond"/>
    <x v="42"/>
    <x v="0"/>
    <x v="42"/>
    <m/>
    <m/>
    <x v="4"/>
    <x v="3"/>
    <m/>
    <m/>
    <n v="3000"/>
  </r>
  <r>
    <x v="640"/>
    <n v="1600"/>
    <x v="5"/>
    <x v="3"/>
    <s v="Küte ja soojusenergia"/>
    <s v="2"/>
    <x v="1"/>
    <m/>
    <m/>
    <s v="280"/>
    <s v="Roela, Tudu, Viru-Jaagupi teeninduspiirkond"/>
    <x v="42"/>
    <x v="0"/>
    <x v="42"/>
    <m/>
    <m/>
    <x v="4"/>
    <x v="3"/>
    <m/>
    <m/>
    <n v="1600"/>
  </r>
  <r>
    <x v="609"/>
    <n v="1000"/>
    <x v="47"/>
    <x v="3"/>
    <s v="Eri- ja vormiriietus (va kaitseotstarbelised kulud)"/>
    <s v="2"/>
    <x v="1"/>
    <m/>
    <m/>
    <s v="280"/>
    <s v="Roela, Tudu, Viru-Jaagupi teeninduspiirkond"/>
    <x v="42"/>
    <x v="0"/>
    <x v="42"/>
    <m/>
    <m/>
    <x v="4"/>
    <x v="3"/>
    <m/>
    <m/>
    <n v="1000"/>
  </r>
  <r>
    <x v="641"/>
    <m/>
    <x v="41"/>
    <x v="3"/>
    <s v="Meditsiinikulud ja hügieenikulud"/>
    <s v="2"/>
    <x v="1"/>
    <m/>
    <m/>
    <s v="280"/>
    <s v="Roela, Tudu, Viru-Jaagupi teeninduspiirkond"/>
    <x v="42"/>
    <x v="0"/>
    <x v="42"/>
    <m/>
    <m/>
    <x v="4"/>
    <x v="3"/>
    <m/>
    <m/>
    <n v="0"/>
  </r>
  <r>
    <x v="642"/>
    <n v="500"/>
    <x v="28"/>
    <x v="3"/>
    <s v="Mitmesugused majanduskulud"/>
    <s v="2"/>
    <x v="1"/>
    <m/>
    <m/>
    <s v="81"/>
    <s v="Tammiku Kodu"/>
    <x v="43"/>
    <x v="4"/>
    <x v="43"/>
    <m/>
    <m/>
    <x v="4"/>
    <x v="15"/>
    <m/>
    <m/>
    <n v="500"/>
  </r>
  <r>
    <x v="643"/>
    <n v="120"/>
    <x v="41"/>
    <x v="3"/>
    <s v="Meditsiinikulud ja hügieenikulud"/>
    <s v="2"/>
    <x v="1"/>
    <m/>
    <m/>
    <s v="81"/>
    <s v="Tammiku Kodu"/>
    <x v="43"/>
    <x v="4"/>
    <x v="43"/>
    <m/>
    <m/>
    <x v="4"/>
    <x v="15"/>
    <m/>
    <m/>
    <n v="120"/>
  </r>
  <r>
    <x v="644"/>
    <n v="2700"/>
    <x v="41"/>
    <x v="3"/>
    <s v="Meditsiinikulud ja hügieenikulud"/>
    <s v="2"/>
    <x v="1"/>
    <m/>
    <m/>
    <s v="81"/>
    <s v="Tammiku Kodu"/>
    <x v="43"/>
    <x v="4"/>
    <x v="43"/>
    <m/>
    <m/>
    <x v="4"/>
    <x v="15"/>
    <m/>
    <m/>
    <n v="2700"/>
  </r>
  <r>
    <x v="645"/>
    <n v="2300"/>
    <x v="41"/>
    <x v="3"/>
    <s v="Meditsiinikulud ja hügieenikulud"/>
    <s v="2"/>
    <x v="1"/>
    <m/>
    <m/>
    <s v="81"/>
    <s v="Tammiku Kodu"/>
    <x v="43"/>
    <x v="4"/>
    <x v="43"/>
    <m/>
    <m/>
    <x v="4"/>
    <x v="15"/>
    <m/>
    <m/>
    <n v="2300"/>
  </r>
  <r>
    <x v="638"/>
    <n v="500"/>
    <x v="29"/>
    <x v="3"/>
    <s v="Inventari majandamiskulud"/>
    <s v="2"/>
    <x v="1"/>
    <m/>
    <m/>
    <s v="81"/>
    <s v="Tammiku Kodu"/>
    <x v="43"/>
    <x v="4"/>
    <x v="43"/>
    <m/>
    <m/>
    <x v="4"/>
    <x v="15"/>
    <m/>
    <m/>
    <n v="500"/>
  </r>
  <r>
    <x v="646"/>
    <n v="150"/>
    <x v="8"/>
    <x v="3"/>
    <s v="Kinnistute, hoonete ja ruumide majandamiskulud"/>
    <s v="2"/>
    <x v="1"/>
    <m/>
    <m/>
    <s v="81"/>
    <s v="Tammiku Kodu"/>
    <x v="43"/>
    <x v="4"/>
    <x v="43"/>
    <m/>
    <m/>
    <x v="4"/>
    <x v="15"/>
    <m/>
    <m/>
    <n v="150"/>
  </r>
  <r>
    <x v="647"/>
    <n v="156"/>
    <x v="8"/>
    <x v="3"/>
    <s v="Kinnistute, hoonete ja ruumide majandamiskulud"/>
    <s v="2"/>
    <x v="1"/>
    <m/>
    <m/>
    <s v="81"/>
    <s v="Tammiku Kodu"/>
    <x v="43"/>
    <x v="4"/>
    <x v="43"/>
    <m/>
    <m/>
    <x v="4"/>
    <x v="15"/>
    <m/>
    <m/>
    <n v="156"/>
  </r>
  <r>
    <x v="648"/>
    <n v="140"/>
    <x v="8"/>
    <x v="3"/>
    <s v="Kinnistute, hoonete ja ruumide majandamiskulud"/>
    <s v="2"/>
    <x v="1"/>
    <m/>
    <m/>
    <s v="81"/>
    <s v="Tammiku Kodu"/>
    <x v="43"/>
    <x v="4"/>
    <x v="43"/>
    <m/>
    <m/>
    <x v="4"/>
    <x v="15"/>
    <m/>
    <m/>
    <n v="140"/>
  </r>
  <r>
    <x v="649"/>
    <n v="654"/>
    <x v="8"/>
    <x v="3"/>
    <s v="Kinnistute, hoonete ja ruumide majandamiskulud"/>
    <s v="2"/>
    <x v="1"/>
    <m/>
    <m/>
    <s v="81"/>
    <s v="Tammiku Kodu"/>
    <x v="43"/>
    <x v="4"/>
    <x v="43"/>
    <m/>
    <m/>
    <x v="4"/>
    <x v="15"/>
    <m/>
    <m/>
    <n v="654"/>
  </r>
  <r>
    <x v="650"/>
    <n v="180"/>
    <x v="8"/>
    <x v="3"/>
    <s v="Kinnistute, hoonete ja ruumide majandamiskulud"/>
    <s v="2"/>
    <x v="1"/>
    <m/>
    <m/>
    <s v="81"/>
    <s v="Tammiku Kodu"/>
    <x v="43"/>
    <x v="4"/>
    <x v="43"/>
    <m/>
    <m/>
    <x v="4"/>
    <x v="15"/>
    <m/>
    <m/>
    <n v="180"/>
  </r>
  <r>
    <x v="230"/>
    <n v="216"/>
    <x v="8"/>
    <x v="3"/>
    <s v="Kinnistute, hoonete ja ruumide majandamiskulud"/>
    <s v="2"/>
    <x v="1"/>
    <m/>
    <m/>
    <s v="81"/>
    <s v="Tammiku Kodu"/>
    <x v="43"/>
    <x v="4"/>
    <x v="43"/>
    <m/>
    <m/>
    <x v="4"/>
    <x v="15"/>
    <m/>
    <m/>
    <n v="216"/>
  </r>
  <r>
    <x v="651"/>
    <n v="2000"/>
    <x v="8"/>
    <x v="3"/>
    <s v="Kinnistute, hoonete ja ruumide majandamiskulud"/>
    <s v="2"/>
    <x v="1"/>
    <m/>
    <m/>
    <s v="81"/>
    <s v="Tammiku Kodu"/>
    <x v="43"/>
    <x v="4"/>
    <x v="43"/>
    <m/>
    <m/>
    <x v="4"/>
    <x v="15"/>
    <m/>
    <m/>
    <n v="2000"/>
  </r>
  <r>
    <x v="112"/>
    <n v="3280"/>
    <x v="8"/>
    <x v="3"/>
    <s v="Kinnistute, hoonete ja ruumide majandamiskulud"/>
    <s v="2"/>
    <x v="1"/>
    <m/>
    <m/>
    <s v="81"/>
    <s v="Tammiku Kodu"/>
    <x v="43"/>
    <x v="4"/>
    <x v="43"/>
    <m/>
    <m/>
    <x v="4"/>
    <x v="15"/>
    <m/>
    <m/>
    <n v="3280"/>
  </r>
  <r>
    <x v="652"/>
    <n v="2592"/>
    <x v="8"/>
    <x v="3"/>
    <s v="Kinnistute, hoonete ja ruumide majandamiskulud"/>
    <s v="2"/>
    <x v="1"/>
    <m/>
    <m/>
    <s v="81"/>
    <s v="Tammiku Kodu"/>
    <x v="43"/>
    <x v="4"/>
    <x v="43"/>
    <m/>
    <m/>
    <x v="4"/>
    <x v="15"/>
    <m/>
    <m/>
    <n v="2592"/>
  </r>
  <r>
    <x v="6"/>
    <n v="5000"/>
    <x v="6"/>
    <x v="3"/>
    <s v="Elekter"/>
    <s v="2"/>
    <x v="1"/>
    <m/>
    <m/>
    <s v="81"/>
    <s v="Tammiku Kodu"/>
    <x v="43"/>
    <x v="4"/>
    <x v="43"/>
    <m/>
    <m/>
    <x v="4"/>
    <x v="15"/>
    <m/>
    <m/>
    <n v="5000"/>
  </r>
  <r>
    <x v="173"/>
    <n v="1860"/>
    <x v="9"/>
    <x v="3"/>
    <s v="Administreerimiskulud"/>
    <s v="2"/>
    <x v="1"/>
    <m/>
    <m/>
    <s v="81"/>
    <s v="Tammiku Kodu"/>
    <x v="43"/>
    <x v="4"/>
    <x v="43"/>
    <m/>
    <m/>
    <x v="4"/>
    <x v="15"/>
    <m/>
    <m/>
    <n v="1860"/>
  </r>
  <r>
    <x v="354"/>
    <n v="170"/>
    <x v="9"/>
    <x v="3"/>
    <s v="Administreerimiskulud"/>
    <s v="2"/>
    <x v="1"/>
    <m/>
    <m/>
    <s v="81"/>
    <s v="Tammiku Kodu"/>
    <x v="43"/>
    <x v="4"/>
    <x v="43"/>
    <m/>
    <m/>
    <x v="4"/>
    <x v="15"/>
    <m/>
    <m/>
    <n v="170"/>
  </r>
  <r>
    <x v="117"/>
    <n v="7872"/>
    <x v="17"/>
    <x v="2"/>
    <s v="Töötasud võlaõiguslike lepingute alusel"/>
    <s v="2"/>
    <x v="1"/>
    <m/>
    <m/>
    <s v="81"/>
    <s v="Tammiku Kodu"/>
    <x v="43"/>
    <x v="4"/>
    <x v="43"/>
    <m/>
    <m/>
    <x v="3"/>
    <x v="15"/>
    <m/>
    <m/>
    <n v="7872"/>
  </r>
  <r>
    <x v="653"/>
    <n v="120"/>
    <x v="23"/>
    <x v="3"/>
    <s v="Sotsiaalteenused"/>
    <s v="2"/>
    <x v="1"/>
    <m/>
    <m/>
    <s v="81"/>
    <s v="Tammiku Kodu"/>
    <x v="43"/>
    <x v="4"/>
    <x v="43"/>
    <m/>
    <m/>
    <x v="4"/>
    <x v="15"/>
    <m/>
    <m/>
    <n v="120"/>
  </r>
  <r>
    <x v="654"/>
    <n v="500"/>
    <x v="25"/>
    <x v="3"/>
    <s v="Kommunikatsiooni-, kultuuri- ja vaba aja sisustamise kulud"/>
    <s v="2"/>
    <x v="1"/>
    <m/>
    <m/>
    <s v="81"/>
    <s v="Tammiku Kodu"/>
    <x v="43"/>
    <x v="4"/>
    <x v="43"/>
    <m/>
    <m/>
    <x v="4"/>
    <x v="15"/>
    <m/>
    <m/>
    <n v="500"/>
  </r>
  <r>
    <x v="545"/>
    <n v="200"/>
    <x v="41"/>
    <x v="3"/>
    <s v="Meditsiinikulud ja hügieenikulud"/>
    <s v="2"/>
    <x v="1"/>
    <m/>
    <m/>
    <s v="81"/>
    <s v="Tammiku Kodu"/>
    <x v="43"/>
    <x v="4"/>
    <x v="43"/>
    <m/>
    <m/>
    <x v="4"/>
    <x v="15"/>
    <m/>
    <m/>
    <n v="200"/>
  </r>
  <r>
    <x v="63"/>
    <n v="17374"/>
    <x v="16"/>
    <x v="3"/>
    <s v="Toiduained ja toitlustusteenused"/>
    <s v="2"/>
    <x v="1"/>
    <m/>
    <m/>
    <s v="81"/>
    <s v="Tammiku Kodu"/>
    <x v="43"/>
    <x v="4"/>
    <x v="43"/>
    <m/>
    <m/>
    <x v="4"/>
    <x v="15"/>
    <m/>
    <m/>
    <n v="17374"/>
  </r>
  <r>
    <x v="655"/>
    <n v="100"/>
    <x v="30"/>
    <x v="3"/>
    <s v="Sõidukite ülalpidamise kulud"/>
    <s v="2"/>
    <x v="1"/>
    <m/>
    <m/>
    <s v="81"/>
    <s v="Tammiku Kodu"/>
    <x v="43"/>
    <x v="4"/>
    <x v="43"/>
    <m/>
    <m/>
    <x v="4"/>
    <x v="15"/>
    <m/>
    <m/>
    <n v="100"/>
  </r>
  <r>
    <x v="5"/>
    <n v="1400"/>
    <x v="5"/>
    <x v="3"/>
    <s v="Küte ja soojusenergia"/>
    <s v="2"/>
    <x v="1"/>
    <m/>
    <m/>
    <s v="81"/>
    <s v="Tammiku Kodu"/>
    <x v="43"/>
    <x v="4"/>
    <x v="43"/>
    <m/>
    <m/>
    <x v="4"/>
    <x v="15"/>
    <m/>
    <m/>
    <n v="1400"/>
  </r>
  <r>
    <x v="656"/>
    <n v="100"/>
    <x v="31"/>
    <x v="3"/>
    <s v="Koolituskulud (sh koolituslähetus)"/>
    <s v="2"/>
    <x v="1"/>
    <m/>
    <m/>
    <s v="81"/>
    <s v="Tammiku Kodu"/>
    <x v="43"/>
    <x v="4"/>
    <x v="43"/>
    <m/>
    <m/>
    <x v="4"/>
    <x v="15"/>
    <m/>
    <m/>
    <n v="100"/>
  </r>
  <r>
    <x v="657"/>
    <n v="150"/>
    <x v="9"/>
    <x v="3"/>
    <s v="Administreerimiskulud"/>
    <s v="2"/>
    <x v="1"/>
    <m/>
    <m/>
    <s v="81"/>
    <s v="Tammiku Kodu"/>
    <x v="43"/>
    <x v="4"/>
    <x v="43"/>
    <m/>
    <m/>
    <x v="4"/>
    <x v="15"/>
    <m/>
    <m/>
    <n v="150"/>
  </r>
  <r>
    <x v="533"/>
    <n v="300"/>
    <x v="29"/>
    <x v="3"/>
    <s v="Inventari majandamiskulud"/>
    <s v="2"/>
    <x v="1"/>
    <m/>
    <m/>
    <s v="44"/>
    <s v="Tudu kool"/>
    <x v="44"/>
    <x v="1"/>
    <x v="44"/>
    <m/>
    <m/>
    <x v="4"/>
    <x v="6"/>
    <m/>
    <m/>
    <n v="300"/>
  </r>
  <r>
    <x v="655"/>
    <n v="100"/>
    <x v="30"/>
    <x v="3"/>
    <s v="Sõidukite ülalpidamise kulud"/>
    <s v="2"/>
    <x v="1"/>
    <m/>
    <m/>
    <s v="44"/>
    <s v="Tudu kool"/>
    <x v="44"/>
    <x v="1"/>
    <x v="44"/>
    <m/>
    <m/>
    <x v="4"/>
    <x v="6"/>
    <m/>
    <m/>
    <n v="100"/>
  </r>
  <r>
    <x v="61"/>
    <n v="150"/>
    <x v="14"/>
    <x v="3"/>
    <s v="Isikliku sõiduauto kompensatsioon"/>
    <s v="2"/>
    <x v="1"/>
    <m/>
    <m/>
    <s v="44"/>
    <s v="Tudu kool"/>
    <x v="44"/>
    <x v="1"/>
    <x v="44"/>
    <m/>
    <m/>
    <x v="4"/>
    <x v="6"/>
    <m/>
    <m/>
    <n v="150"/>
  </r>
  <r>
    <x v="571"/>
    <n v="150"/>
    <x v="41"/>
    <x v="3"/>
    <s v="Meditsiinikulud ja hügieenikulud"/>
    <s v="2"/>
    <x v="1"/>
    <m/>
    <m/>
    <s v="44"/>
    <s v="Tudu kool"/>
    <x v="44"/>
    <x v="1"/>
    <x v="44"/>
    <m/>
    <m/>
    <x v="4"/>
    <x v="6"/>
    <m/>
    <m/>
    <n v="150"/>
  </r>
  <r>
    <x v="658"/>
    <n v="500"/>
    <x v="10"/>
    <x v="3"/>
    <s v="Info- ja kommunikatsioonitehnoloogia kulud"/>
    <s v="2"/>
    <x v="1"/>
    <m/>
    <m/>
    <s v="44"/>
    <s v="Tudu kool"/>
    <x v="44"/>
    <x v="1"/>
    <x v="44"/>
    <m/>
    <m/>
    <x v="4"/>
    <x v="6"/>
    <m/>
    <m/>
    <n v="500"/>
  </r>
  <r>
    <x v="314"/>
    <n v="337.84"/>
    <x v="25"/>
    <x v="3"/>
    <s v="Kommunikatsiooni-, kultuuri- ja vaba aja sisustamise kulud"/>
    <s v="2"/>
    <x v="1"/>
    <m/>
    <m/>
    <s v="44"/>
    <s v="Tudu kool"/>
    <x v="44"/>
    <x v="1"/>
    <x v="44"/>
    <m/>
    <m/>
    <x v="4"/>
    <x v="6"/>
    <m/>
    <m/>
    <n v="337.84"/>
  </r>
  <r>
    <x v="116"/>
    <n v="4000"/>
    <x v="11"/>
    <x v="3"/>
    <s v="Kütus"/>
    <s v="2"/>
    <x v="1"/>
    <m/>
    <m/>
    <s v="44"/>
    <s v="Tudu kool"/>
    <x v="44"/>
    <x v="1"/>
    <x v="44"/>
    <m/>
    <m/>
    <x v="4"/>
    <x v="6"/>
    <m/>
    <m/>
    <n v="4000"/>
  </r>
  <r>
    <x v="64"/>
    <n v="3500"/>
    <x v="8"/>
    <x v="3"/>
    <s v="Kinnistute, hoonete ja ruumide majandamiskulud"/>
    <s v="2"/>
    <x v="1"/>
    <m/>
    <m/>
    <s v="44"/>
    <s v="Tudu kool"/>
    <x v="44"/>
    <x v="1"/>
    <x v="44"/>
    <m/>
    <m/>
    <x v="4"/>
    <x v="6"/>
    <m/>
    <m/>
    <n v="3500"/>
  </r>
  <r>
    <x v="197"/>
    <n v="350"/>
    <x v="31"/>
    <x v="3"/>
    <s v="Koolituskulud (sh koolituslähetus)"/>
    <s v="2"/>
    <x v="1"/>
    <m/>
    <m/>
    <s v="44"/>
    <s v="Tudu kool"/>
    <x v="44"/>
    <x v="1"/>
    <x v="44"/>
    <m/>
    <m/>
    <x v="4"/>
    <x v="6"/>
    <m/>
    <m/>
    <n v="350"/>
  </r>
  <r>
    <x v="629"/>
    <n v="3500"/>
    <x v="9"/>
    <x v="3"/>
    <s v="Administreerimiskulud"/>
    <s v="2"/>
    <x v="1"/>
    <m/>
    <m/>
    <s v="44"/>
    <s v="Tudu kool"/>
    <x v="44"/>
    <x v="1"/>
    <x v="44"/>
    <m/>
    <m/>
    <x v="4"/>
    <x v="6"/>
    <m/>
    <m/>
    <n v="3500"/>
  </r>
  <r>
    <x v="658"/>
    <n v="283"/>
    <x v="10"/>
    <x v="3"/>
    <s v="Info- ja kommunikatsioonitehnoloogia kulud"/>
    <s v="2"/>
    <x v="1"/>
    <m/>
    <m/>
    <s v="66"/>
    <s v="Ulvi Klubi"/>
    <x v="45"/>
    <x v="2"/>
    <x v="45"/>
    <m/>
    <m/>
    <x v="4"/>
    <x v="19"/>
    <m/>
    <m/>
    <n v="283"/>
  </r>
  <r>
    <x v="659"/>
    <n v="300"/>
    <x v="8"/>
    <x v="3"/>
    <s v="Kinnistute, hoonete ja ruumide majandamiskulud"/>
    <s v="2"/>
    <x v="1"/>
    <m/>
    <m/>
    <s v="66"/>
    <s v="Ulvi Klubi"/>
    <x v="45"/>
    <x v="2"/>
    <x v="45"/>
    <m/>
    <m/>
    <x v="4"/>
    <x v="19"/>
    <m/>
    <m/>
    <n v="300"/>
  </r>
  <r>
    <x v="660"/>
    <n v="210"/>
    <x v="8"/>
    <x v="3"/>
    <s v="Kinnistute, hoonete ja ruumide majandamiskulud"/>
    <s v="2"/>
    <x v="1"/>
    <m/>
    <m/>
    <s v="66"/>
    <s v="Ulvi Klubi"/>
    <x v="45"/>
    <x v="2"/>
    <x v="45"/>
    <m/>
    <m/>
    <x v="4"/>
    <x v="19"/>
    <m/>
    <m/>
    <n v="210"/>
  </r>
  <r>
    <x v="661"/>
    <n v="100"/>
    <x v="8"/>
    <x v="3"/>
    <s v="Kinnistute, hoonete ja ruumide majandamiskulud"/>
    <s v="2"/>
    <x v="1"/>
    <m/>
    <m/>
    <s v="66"/>
    <s v="Ulvi Klubi"/>
    <x v="45"/>
    <x v="2"/>
    <x v="45"/>
    <m/>
    <m/>
    <x v="4"/>
    <x v="19"/>
    <m/>
    <m/>
    <n v="100"/>
  </r>
  <r>
    <x v="662"/>
    <n v="200"/>
    <x v="8"/>
    <x v="3"/>
    <s v="Kinnistute, hoonete ja ruumide majandamiskulud"/>
    <s v="2"/>
    <x v="1"/>
    <m/>
    <m/>
    <s v="66"/>
    <s v="Ulvi Klubi"/>
    <x v="45"/>
    <x v="2"/>
    <x v="45"/>
    <m/>
    <m/>
    <x v="4"/>
    <x v="19"/>
    <m/>
    <m/>
    <n v="200"/>
  </r>
  <r>
    <x v="571"/>
    <n v="100"/>
    <x v="41"/>
    <x v="3"/>
    <s v="Meditsiinikulud ja hügieenikulud"/>
    <s v="2"/>
    <x v="1"/>
    <m/>
    <m/>
    <s v="66"/>
    <s v="Ulvi Klubi"/>
    <x v="45"/>
    <x v="2"/>
    <x v="45"/>
    <m/>
    <m/>
    <x v="4"/>
    <x v="19"/>
    <m/>
    <m/>
    <n v="100"/>
  </r>
  <r>
    <x v="533"/>
    <n v="400"/>
    <x v="29"/>
    <x v="3"/>
    <s v="Inventari majandamiskulud"/>
    <s v="2"/>
    <x v="1"/>
    <m/>
    <m/>
    <s v="66"/>
    <s v="Ulvi Klubi"/>
    <x v="45"/>
    <x v="2"/>
    <x v="45"/>
    <m/>
    <m/>
    <x v="4"/>
    <x v="19"/>
    <m/>
    <m/>
    <n v="400"/>
  </r>
  <r>
    <x v="663"/>
    <n v="858"/>
    <x v="25"/>
    <x v="3"/>
    <s v="Kommunikatsiooni-, kultuuri- ja vaba aja sisustamise kulud"/>
    <s v="2"/>
    <x v="1"/>
    <m/>
    <m/>
    <s v="66"/>
    <s v="Ulvi Klubi"/>
    <x v="45"/>
    <x v="2"/>
    <x v="45"/>
    <m/>
    <m/>
    <x v="4"/>
    <x v="19"/>
    <m/>
    <m/>
    <n v="858"/>
  </r>
  <r>
    <x v="664"/>
    <n v="200"/>
    <x v="25"/>
    <x v="3"/>
    <s v="Kommunikatsiooni-, kultuuri- ja vaba aja sisustamise kulud"/>
    <s v="2"/>
    <x v="1"/>
    <m/>
    <m/>
    <s v="66"/>
    <s v="Ulvi Klubi"/>
    <x v="45"/>
    <x v="2"/>
    <x v="45"/>
    <m/>
    <m/>
    <x v="4"/>
    <x v="19"/>
    <m/>
    <m/>
    <n v="200"/>
  </r>
  <r>
    <x v="202"/>
    <n v="400"/>
    <x v="28"/>
    <x v="3"/>
    <s v="Mitmesugused majanduskulud"/>
    <s v="2"/>
    <x v="1"/>
    <m/>
    <m/>
    <s v="66"/>
    <s v="Ulvi Klubi"/>
    <x v="45"/>
    <x v="2"/>
    <x v="45"/>
    <m/>
    <m/>
    <x v="4"/>
    <x v="19"/>
    <m/>
    <m/>
    <n v="400"/>
  </r>
  <r>
    <x v="314"/>
    <n v="5490"/>
    <x v="25"/>
    <x v="3"/>
    <s v="Kommunikatsiooni-, kultuuri- ja vaba aja sisustamise kulud"/>
    <s v="2"/>
    <x v="1"/>
    <m/>
    <m/>
    <s v="66"/>
    <s v="Ulvi Klubi"/>
    <x v="45"/>
    <x v="2"/>
    <x v="45"/>
    <m/>
    <m/>
    <x v="4"/>
    <x v="19"/>
    <m/>
    <m/>
    <n v="5490"/>
  </r>
  <r>
    <x v="629"/>
    <n v="200"/>
    <x v="9"/>
    <x v="3"/>
    <s v="Administreerimiskulud"/>
    <s v="2"/>
    <x v="1"/>
    <m/>
    <m/>
    <s v="66"/>
    <s v="Ulvi Klubi"/>
    <x v="45"/>
    <x v="2"/>
    <x v="45"/>
    <m/>
    <m/>
    <x v="4"/>
    <x v="19"/>
    <m/>
    <m/>
    <n v="200"/>
  </r>
  <r>
    <x v="197"/>
    <n v="400"/>
    <x v="31"/>
    <x v="3"/>
    <s v="Koolituskulud (sh koolituslähetus)"/>
    <s v="2"/>
    <x v="1"/>
    <m/>
    <m/>
    <s v="66"/>
    <s v="Ulvi Klubi"/>
    <x v="45"/>
    <x v="2"/>
    <x v="45"/>
    <m/>
    <m/>
    <x v="4"/>
    <x v="19"/>
    <m/>
    <m/>
    <n v="400"/>
  </r>
  <r>
    <x v="665"/>
    <n v="1500"/>
    <x v="29"/>
    <x v="3"/>
    <s v="Inventari majandamiskulud"/>
    <s v="2"/>
    <x v="1"/>
    <m/>
    <m/>
    <s v="31"/>
    <s v="Vinni Lasteaed"/>
    <x v="8"/>
    <x v="1"/>
    <x v="8"/>
    <m/>
    <m/>
    <x v="4"/>
    <x v="1"/>
    <m/>
    <m/>
    <n v="1500"/>
  </r>
  <r>
    <x v="666"/>
    <n v="1500"/>
    <x v="29"/>
    <x v="3"/>
    <s v="Inventari majandamiskulud"/>
    <s v="2"/>
    <x v="1"/>
    <m/>
    <m/>
    <s v="31"/>
    <s v="Vinni Lasteaed"/>
    <x v="8"/>
    <x v="1"/>
    <x v="8"/>
    <m/>
    <m/>
    <x v="4"/>
    <x v="1"/>
    <m/>
    <m/>
    <n v="1500"/>
  </r>
  <r>
    <x v="667"/>
    <n v="500"/>
    <x v="10"/>
    <x v="3"/>
    <s v="Info- ja kommunikatsioonitehnoloogia kulud"/>
    <s v="2"/>
    <x v="1"/>
    <m/>
    <m/>
    <s v="31"/>
    <s v="Vinni Lasteaed"/>
    <x v="8"/>
    <x v="1"/>
    <x v="8"/>
    <m/>
    <m/>
    <x v="4"/>
    <x v="1"/>
    <m/>
    <m/>
    <n v="500"/>
  </r>
  <r>
    <x v="668"/>
    <n v="1800"/>
    <x v="10"/>
    <x v="3"/>
    <s v="Info- ja kommunikatsioonitehnoloogia kulud"/>
    <s v="2"/>
    <x v="1"/>
    <m/>
    <m/>
    <s v="31"/>
    <s v="Vinni Lasteaed"/>
    <x v="8"/>
    <x v="1"/>
    <x v="8"/>
    <m/>
    <m/>
    <x v="4"/>
    <x v="1"/>
    <m/>
    <m/>
    <n v="1800"/>
  </r>
  <r>
    <x v="570"/>
    <n v="11010"/>
    <x v="15"/>
    <x v="3"/>
    <s v="Õppevahendite ja koolituse kulud"/>
    <s v="2"/>
    <x v="1"/>
    <m/>
    <m/>
    <s v="31"/>
    <s v="Vinni Lasteaed"/>
    <x v="8"/>
    <x v="1"/>
    <x v="8"/>
    <m/>
    <m/>
    <x v="4"/>
    <x v="1"/>
    <m/>
    <m/>
    <n v="11010"/>
  </r>
  <r>
    <x v="669"/>
    <n v="1000"/>
    <x v="41"/>
    <x v="3"/>
    <s v="Meditsiinikulud ja hügieenikulud"/>
    <s v="2"/>
    <x v="1"/>
    <m/>
    <m/>
    <s v="31"/>
    <s v="Vinni Lasteaed"/>
    <x v="8"/>
    <x v="1"/>
    <x v="8"/>
    <m/>
    <m/>
    <x v="4"/>
    <x v="1"/>
    <m/>
    <m/>
    <n v="1000"/>
  </r>
  <r>
    <x v="381"/>
    <n v="240"/>
    <x v="41"/>
    <x v="3"/>
    <s v="Meditsiinikulud ja hügieenikulud"/>
    <s v="2"/>
    <x v="1"/>
    <m/>
    <m/>
    <s v="31"/>
    <s v="Vinni Lasteaed"/>
    <x v="8"/>
    <x v="1"/>
    <x v="8"/>
    <m/>
    <m/>
    <x v="4"/>
    <x v="1"/>
    <m/>
    <m/>
    <n v="240"/>
  </r>
  <r>
    <x v="670"/>
    <n v="30"/>
    <x v="9"/>
    <x v="3"/>
    <s v="Administreerimiskulud"/>
    <s v="2"/>
    <x v="1"/>
    <m/>
    <m/>
    <s v="31"/>
    <s v="Vinni Lasteaed"/>
    <x v="8"/>
    <x v="1"/>
    <x v="8"/>
    <m/>
    <m/>
    <x v="4"/>
    <x v="1"/>
    <m/>
    <m/>
    <n v="30"/>
  </r>
  <r>
    <x v="197"/>
    <n v="2300"/>
    <x v="31"/>
    <x v="3"/>
    <s v="Koolituskulud (sh koolituslähetus)"/>
    <s v="2"/>
    <x v="1"/>
    <m/>
    <m/>
    <s v="31"/>
    <s v="Vinni Lasteaed"/>
    <x v="8"/>
    <x v="1"/>
    <x v="8"/>
    <m/>
    <m/>
    <x v="4"/>
    <x v="1"/>
    <m/>
    <m/>
    <n v="2300"/>
  </r>
  <r>
    <x v="671"/>
    <n v="375"/>
    <x v="8"/>
    <x v="3"/>
    <s v="Kinnistute, hoonete ja ruumide majandamiskulud"/>
    <s v="2"/>
    <x v="1"/>
    <m/>
    <m/>
    <s v="31"/>
    <s v="Vinni Lasteaed"/>
    <x v="8"/>
    <x v="1"/>
    <x v="8"/>
    <m/>
    <m/>
    <x v="4"/>
    <x v="1"/>
    <m/>
    <m/>
    <n v="375"/>
  </r>
  <r>
    <x v="672"/>
    <n v="300"/>
    <x v="9"/>
    <x v="3"/>
    <s v="Administreerimiskulud"/>
    <s v="2"/>
    <x v="1"/>
    <m/>
    <m/>
    <s v="31"/>
    <s v="Vinni Lasteaed"/>
    <x v="8"/>
    <x v="1"/>
    <x v="8"/>
    <m/>
    <m/>
    <x v="4"/>
    <x v="1"/>
    <m/>
    <m/>
    <n v="300"/>
  </r>
  <r>
    <x v="314"/>
    <n v="4000"/>
    <x v="25"/>
    <x v="3"/>
    <s v="Kommunikatsiooni-, kultuuri- ja vaba aja sisustamise kulud"/>
    <s v="2"/>
    <x v="1"/>
    <m/>
    <m/>
    <s v="31"/>
    <s v="Vinni Lasteaed"/>
    <x v="8"/>
    <x v="1"/>
    <x v="8"/>
    <m/>
    <m/>
    <x v="4"/>
    <x v="1"/>
    <m/>
    <m/>
    <n v="4000"/>
  </r>
  <r>
    <x v="641"/>
    <n v="600"/>
    <x v="41"/>
    <x v="3"/>
    <s v="Meditsiinikulud ja hügieenikulud"/>
    <s v="2"/>
    <x v="1"/>
    <m/>
    <m/>
    <s v="31"/>
    <s v="Vinni Lasteaed"/>
    <x v="8"/>
    <x v="1"/>
    <x v="8"/>
    <m/>
    <m/>
    <x v="4"/>
    <x v="1"/>
    <m/>
    <m/>
    <n v="600"/>
  </r>
  <r>
    <x v="540"/>
    <n v="1000"/>
    <x v="29"/>
    <x v="3"/>
    <s v="Inventari majandamiskulud"/>
    <s v="2"/>
    <x v="1"/>
    <m/>
    <m/>
    <s v="31"/>
    <s v="Vinni Lasteaed"/>
    <x v="8"/>
    <x v="1"/>
    <x v="8"/>
    <m/>
    <m/>
    <x v="4"/>
    <x v="1"/>
    <m/>
    <m/>
    <n v="1000"/>
  </r>
  <r>
    <x v="673"/>
    <n v="300"/>
    <x v="10"/>
    <x v="3"/>
    <s v="Info- ja kommunikatsioonitehnoloogia kulud"/>
    <s v="2"/>
    <x v="1"/>
    <m/>
    <m/>
    <s v="31"/>
    <s v="Vinni Lasteaed"/>
    <x v="8"/>
    <x v="1"/>
    <x v="8"/>
    <m/>
    <m/>
    <x v="4"/>
    <x v="1"/>
    <m/>
    <m/>
    <n v="300"/>
  </r>
  <r>
    <x v="112"/>
    <n v="3500"/>
    <x v="8"/>
    <x v="3"/>
    <s v="Kinnistute, hoonete ja ruumide majandamiskulud"/>
    <s v="2"/>
    <x v="1"/>
    <m/>
    <m/>
    <s v="31"/>
    <s v="Vinni Lasteaed"/>
    <x v="8"/>
    <x v="1"/>
    <x v="8"/>
    <m/>
    <m/>
    <x v="4"/>
    <x v="1"/>
    <m/>
    <m/>
    <n v="3500"/>
  </r>
  <r>
    <x v="173"/>
    <n v="900"/>
    <x v="9"/>
    <x v="3"/>
    <s v="Administreerimiskulud"/>
    <s v="2"/>
    <x v="1"/>
    <m/>
    <m/>
    <s v="31"/>
    <s v="Vinni Lasteaed"/>
    <x v="8"/>
    <x v="1"/>
    <x v="8"/>
    <m/>
    <m/>
    <x v="4"/>
    <x v="1"/>
    <m/>
    <m/>
    <n v="900"/>
  </r>
  <r>
    <x v="4"/>
    <n v="1014"/>
    <x v="4"/>
    <x v="2"/>
    <s v="Tööjõukuludega kaasnevad maksud ja sotsiaalkindlustusmaksed"/>
    <s v="2"/>
    <x v="1"/>
    <m/>
    <m/>
    <s v="68"/>
    <s v="Vinni Vallamuuseum"/>
    <x v="9"/>
    <x v="2"/>
    <x v="9"/>
    <m/>
    <m/>
    <x v="3"/>
    <x v="7"/>
    <m/>
    <m/>
    <n v="1014"/>
  </r>
  <r>
    <x v="117"/>
    <n v="3000"/>
    <x v="17"/>
    <x v="2"/>
    <s v="Töötasud võlaõiguslike lepingute alusel"/>
    <s v="2"/>
    <x v="1"/>
    <m/>
    <m/>
    <s v="68"/>
    <s v="Vinni Vallamuuseum"/>
    <x v="9"/>
    <x v="2"/>
    <x v="9"/>
    <m/>
    <m/>
    <x v="3"/>
    <x v="7"/>
    <m/>
    <m/>
    <n v="3000"/>
  </r>
  <r>
    <x v="674"/>
    <n v="500"/>
    <x v="28"/>
    <x v="3"/>
    <s v="Mitmesugused majanduskulud"/>
    <s v="2"/>
    <x v="1"/>
    <m/>
    <m/>
    <s v="68"/>
    <s v="Vinni Vallamuuseum"/>
    <x v="9"/>
    <x v="2"/>
    <x v="9"/>
    <m/>
    <m/>
    <x v="4"/>
    <x v="7"/>
    <m/>
    <m/>
    <n v="500"/>
  </r>
  <r>
    <x v="675"/>
    <n v="120"/>
    <x v="8"/>
    <x v="3"/>
    <s v="Kinnistute, hoonete ja ruumide majandamiskulud"/>
    <s v="2"/>
    <x v="1"/>
    <m/>
    <m/>
    <s v="68"/>
    <s v="Vinni Vallamuuseum"/>
    <x v="9"/>
    <x v="2"/>
    <x v="9"/>
    <m/>
    <m/>
    <x v="4"/>
    <x v="7"/>
    <m/>
    <m/>
    <n v="120"/>
  </r>
  <r>
    <x v="676"/>
    <n v="300"/>
    <x v="8"/>
    <x v="3"/>
    <s v="Kinnistute, hoonete ja ruumide majandamiskulud"/>
    <s v="2"/>
    <x v="1"/>
    <m/>
    <m/>
    <s v="68"/>
    <s v="Vinni Vallamuuseum"/>
    <x v="9"/>
    <x v="2"/>
    <x v="9"/>
    <m/>
    <m/>
    <x v="4"/>
    <x v="7"/>
    <m/>
    <m/>
    <n v="300"/>
  </r>
  <r>
    <x v="677"/>
    <n v="300"/>
    <x v="8"/>
    <x v="3"/>
    <s v="Kinnistute, hoonete ja ruumide majandamiskulud"/>
    <s v="2"/>
    <x v="1"/>
    <m/>
    <m/>
    <s v="68"/>
    <s v="Vinni Vallamuuseum"/>
    <x v="9"/>
    <x v="2"/>
    <x v="9"/>
    <m/>
    <m/>
    <x v="4"/>
    <x v="7"/>
    <m/>
    <m/>
    <n v="300"/>
  </r>
  <r>
    <x v="678"/>
    <n v="200"/>
    <x v="8"/>
    <x v="3"/>
    <s v="Kinnistute, hoonete ja ruumide majandamiskulud"/>
    <s v="2"/>
    <x v="1"/>
    <m/>
    <m/>
    <s v="68"/>
    <s v="Vinni Vallamuuseum"/>
    <x v="9"/>
    <x v="2"/>
    <x v="9"/>
    <m/>
    <m/>
    <x v="4"/>
    <x v="7"/>
    <m/>
    <m/>
    <n v="200"/>
  </r>
  <r>
    <x v="679"/>
    <n v="300"/>
    <x v="10"/>
    <x v="3"/>
    <s v="Info- ja kommunikatsioonitehnoloogia kulud"/>
    <s v="2"/>
    <x v="1"/>
    <m/>
    <m/>
    <s v="68"/>
    <s v="Vinni Vallamuuseum"/>
    <x v="9"/>
    <x v="2"/>
    <x v="9"/>
    <m/>
    <m/>
    <x v="4"/>
    <x v="7"/>
    <m/>
    <m/>
    <n v="300"/>
  </r>
  <r>
    <x v="680"/>
    <n v="330"/>
    <x v="41"/>
    <x v="3"/>
    <s v="Meditsiinikulud ja hügieenikulud"/>
    <s v="2"/>
    <x v="1"/>
    <m/>
    <m/>
    <s v="68"/>
    <s v="Vinni Vallamuuseum"/>
    <x v="9"/>
    <x v="2"/>
    <x v="9"/>
    <m/>
    <m/>
    <x v="4"/>
    <x v="7"/>
    <m/>
    <m/>
    <n v="330"/>
  </r>
  <r>
    <x v="681"/>
    <n v="550"/>
    <x v="29"/>
    <x v="3"/>
    <s v="Inventari majandamiskulud"/>
    <s v="2"/>
    <x v="1"/>
    <m/>
    <m/>
    <s v="68"/>
    <s v="Vinni Vallamuuseum"/>
    <x v="9"/>
    <x v="2"/>
    <x v="9"/>
    <m/>
    <m/>
    <x v="4"/>
    <x v="7"/>
    <m/>
    <m/>
    <n v="550"/>
  </r>
  <r>
    <x v="682"/>
    <n v="160"/>
    <x v="8"/>
    <x v="3"/>
    <s v="Kinnistute, hoonete ja ruumide majandamiskulud"/>
    <s v="2"/>
    <x v="1"/>
    <m/>
    <m/>
    <s v="68"/>
    <s v="Vinni Vallamuuseum"/>
    <x v="9"/>
    <x v="2"/>
    <x v="9"/>
    <m/>
    <m/>
    <x v="4"/>
    <x v="7"/>
    <m/>
    <m/>
    <n v="160"/>
  </r>
  <r>
    <x v="197"/>
    <n v="300"/>
    <x v="31"/>
    <x v="3"/>
    <s v="Koolituskulud (sh koolituslähetus)"/>
    <s v="2"/>
    <x v="1"/>
    <m/>
    <m/>
    <s v="68"/>
    <s v="Vinni Vallamuuseum"/>
    <x v="9"/>
    <x v="2"/>
    <x v="9"/>
    <m/>
    <m/>
    <x v="4"/>
    <x v="7"/>
    <m/>
    <m/>
    <n v="300"/>
  </r>
  <r>
    <x v="683"/>
    <n v="200"/>
    <x v="8"/>
    <x v="3"/>
    <s v="Kinnistute, hoonete ja ruumide majandamiskulud"/>
    <s v="2"/>
    <x v="1"/>
    <m/>
    <m/>
    <s v="68"/>
    <s v="Vinni Vallamuuseum"/>
    <x v="9"/>
    <x v="2"/>
    <x v="9"/>
    <m/>
    <m/>
    <x v="4"/>
    <x v="7"/>
    <m/>
    <m/>
    <n v="200"/>
  </r>
  <r>
    <x v="684"/>
    <n v="150"/>
    <x v="29"/>
    <x v="3"/>
    <s v="Inventari majandamiskulud"/>
    <s v="2"/>
    <x v="1"/>
    <m/>
    <m/>
    <s v="68"/>
    <s v="Vinni Vallamuuseum"/>
    <x v="9"/>
    <x v="2"/>
    <x v="9"/>
    <m/>
    <m/>
    <x v="4"/>
    <x v="7"/>
    <m/>
    <m/>
    <n v="150"/>
  </r>
  <r>
    <x v="685"/>
    <n v="100"/>
    <x v="9"/>
    <x v="3"/>
    <s v="Administreerimiskulud"/>
    <s v="2"/>
    <x v="1"/>
    <m/>
    <m/>
    <s v="68"/>
    <s v="Vinni Vallamuuseum"/>
    <x v="9"/>
    <x v="2"/>
    <x v="9"/>
    <m/>
    <m/>
    <x v="4"/>
    <x v="7"/>
    <m/>
    <m/>
    <n v="100"/>
  </r>
  <r>
    <x v="686"/>
    <n v="170"/>
    <x v="9"/>
    <x v="3"/>
    <s v="Administreerimiskulud"/>
    <s v="2"/>
    <x v="1"/>
    <m/>
    <m/>
    <s v="68"/>
    <s v="Vinni Vallamuuseum"/>
    <x v="9"/>
    <x v="2"/>
    <x v="9"/>
    <m/>
    <m/>
    <x v="4"/>
    <x v="7"/>
    <m/>
    <m/>
    <n v="170"/>
  </r>
  <r>
    <x v="314"/>
    <n v="400"/>
    <x v="25"/>
    <x v="3"/>
    <s v="Kommunikatsiooni-, kultuuri- ja vaba aja sisustamise kulud"/>
    <s v="2"/>
    <x v="1"/>
    <m/>
    <m/>
    <s v="68"/>
    <s v="Vinni Vallamuuseum"/>
    <x v="9"/>
    <x v="2"/>
    <x v="9"/>
    <m/>
    <m/>
    <x v="4"/>
    <x v="7"/>
    <m/>
    <m/>
    <n v="400"/>
  </r>
  <r>
    <x v="687"/>
    <n v="950"/>
    <x v="9"/>
    <x v="3"/>
    <s v="Administreerimiskulud"/>
    <s v="2"/>
    <x v="1"/>
    <m/>
    <m/>
    <s v="68"/>
    <s v="Vinni Vallamuuseum"/>
    <x v="9"/>
    <x v="2"/>
    <x v="9"/>
    <m/>
    <m/>
    <x v="4"/>
    <x v="7"/>
    <m/>
    <m/>
    <n v="950"/>
  </r>
  <r>
    <x v="673"/>
    <n v="500"/>
    <x v="10"/>
    <x v="3"/>
    <s v="Info- ja kommunikatsioonitehnoloogia kulud"/>
    <s v="2"/>
    <x v="1"/>
    <m/>
    <m/>
    <s v="68"/>
    <s v="Vinni Vallamuuseum"/>
    <x v="9"/>
    <x v="2"/>
    <x v="9"/>
    <m/>
    <m/>
    <x v="4"/>
    <x v="7"/>
    <m/>
    <m/>
    <n v="500"/>
  </r>
  <r>
    <x v="688"/>
    <n v="100"/>
    <x v="8"/>
    <x v="3"/>
    <s v="Kinnistute, hoonete ja ruumide majandamiskulud"/>
    <s v="2"/>
    <x v="1"/>
    <m/>
    <m/>
    <s v="68"/>
    <s v="Vinni Vallamuuseum"/>
    <x v="9"/>
    <x v="2"/>
    <x v="9"/>
    <m/>
    <m/>
    <x v="4"/>
    <x v="7"/>
    <m/>
    <m/>
    <n v="100"/>
  </r>
  <r>
    <x v="689"/>
    <n v="2880"/>
    <x v="9"/>
    <x v="3"/>
    <s v="Administreerimiskulud"/>
    <s v="2"/>
    <x v="1"/>
    <m/>
    <m/>
    <s v="68"/>
    <s v="Vinni Vallamuuseum"/>
    <x v="9"/>
    <x v="2"/>
    <x v="9"/>
    <m/>
    <m/>
    <x v="4"/>
    <x v="7"/>
    <m/>
    <m/>
    <n v="2880"/>
  </r>
  <r>
    <x v="197"/>
    <n v="85"/>
    <x v="31"/>
    <x v="3"/>
    <s v="Koolituskulud (sh koolituslähetus)"/>
    <s v="2"/>
    <x v="1"/>
    <m/>
    <m/>
    <s v="58"/>
    <s v="Viru-Jaagupi Raamatukogu"/>
    <x v="6"/>
    <x v="2"/>
    <x v="6"/>
    <m/>
    <m/>
    <x v="4"/>
    <x v="5"/>
    <m/>
    <m/>
    <n v="85"/>
  </r>
  <r>
    <x v="690"/>
    <n v="150"/>
    <x v="28"/>
    <x v="3"/>
    <s v="Mitmesugused majanduskulud"/>
    <s v="2"/>
    <x v="1"/>
    <m/>
    <m/>
    <s v="58"/>
    <s v="Viru-Jaagupi Raamatukogu"/>
    <x v="6"/>
    <x v="2"/>
    <x v="6"/>
    <m/>
    <m/>
    <x v="4"/>
    <x v="5"/>
    <m/>
    <m/>
    <n v="150"/>
  </r>
  <r>
    <x v="658"/>
    <n v="450"/>
    <x v="10"/>
    <x v="3"/>
    <s v="Info- ja kommunikatsioonitehnoloogia kulud"/>
    <s v="2"/>
    <x v="1"/>
    <m/>
    <m/>
    <s v="58"/>
    <s v="Viru-Jaagupi Raamatukogu"/>
    <x v="6"/>
    <x v="2"/>
    <x v="6"/>
    <m/>
    <m/>
    <x v="4"/>
    <x v="5"/>
    <m/>
    <m/>
    <n v="450"/>
  </r>
  <r>
    <x v="64"/>
    <n v="180"/>
    <x v="8"/>
    <x v="3"/>
    <s v="Kinnistute, hoonete ja ruumide majandamiskulud"/>
    <s v="2"/>
    <x v="1"/>
    <m/>
    <m/>
    <s v="58"/>
    <s v="Viru-Jaagupi Raamatukogu"/>
    <x v="6"/>
    <x v="2"/>
    <x v="6"/>
    <m/>
    <m/>
    <x v="4"/>
    <x v="5"/>
    <m/>
    <m/>
    <n v="180"/>
  </r>
  <r>
    <x v="629"/>
    <n v="900"/>
    <x v="9"/>
    <x v="3"/>
    <s v="Administreerimiskulud"/>
    <s v="2"/>
    <x v="1"/>
    <m/>
    <m/>
    <s v="58"/>
    <s v="Viru-Jaagupi Raamatukogu"/>
    <x v="6"/>
    <x v="2"/>
    <x v="6"/>
    <m/>
    <m/>
    <x v="4"/>
    <x v="5"/>
    <m/>
    <m/>
    <n v="900"/>
  </r>
  <r>
    <x v="314"/>
    <n v="100"/>
    <x v="25"/>
    <x v="3"/>
    <s v="Kommunikatsiooni-, kultuuri- ja vaba aja sisustamise kulud"/>
    <s v="2"/>
    <x v="1"/>
    <m/>
    <m/>
    <s v="58"/>
    <s v="Viru-Jaagupi Raamatukogu"/>
    <x v="6"/>
    <x v="2"/>
    <x v="6"/>
    <m/>
    <m/>
    <x v="4"/>
    <x v="5"/>
    <m/>
    <m/>
    <n v="100"/>
  </r>
  <r>
    <x v="592"/>
    <n v="1900"/>
    <x v="48"/>
    <x v="3"/>
    <s v="Teavikute ja kunstiesemete kulud"/>
    <s v="2"/>
    <x v="1"/>
    <m/>
    <m/>
    <s v="58"/>
    <s v="Viru-Jaagupi Raamatukogu"/>
    <x v="6"/>
    <x v="2"/>
    <x v="6"/>
    <m/>
    <m/>
    <x v="4"/>
    <x v="5"/>
    <m/>
    <m/>
    <n v="1900"/>
  </r>
  <r>
    <x v="691"/>
    <m/>
    <x v="11"/>
    <x v="3"/>
    <s v="Kütus"/>
    <s v="2"/>
    <x v="1"/>
    <m/>
    <m/>
    <s v="213"/>
    <s v="Spordinõunik"/>
    <x v="50"/>
    <x v="2"/>
    <x v="50"/>
    <m/>
    <m/>
    <x v="4"/>
    <x v="13"/>
    <m/>
    <m/>
    <n v="0"/>
  </r>
  <r>
    <x v="692"/>
    <m/>
    <x v="8"/>
    <x v="3"/>
    <s v="Kinnistute, hoonete ja ruumide majandamiskulud"/>
    <s v="2"/>
    <x v="1"/>
    <m/>
    <m/>
    <s v="213"/>
    <s v="Spordinõunik"/>
    <x v="50"/>
    <x v="2"/>
    <x v="50"/>
    <m/>
    <m/>
    <x v="4"/>
    <x v="13"/>
    <m/>
    <m/>
    <n v="0"/>
  </r>
  <r>
    <x v="197"/>
    <m/>
    <x v="31"/>
    <x v="3"/>
    <s v="Koolituskulud (sh koolituslähetus)"/>
    <s v="2"/>
    <x v="1"/>
    <m/>
    <m/>
    <s v="213"/>
    <s v="Spordinõunik"/>
    <x v="50"/>
    <x v="2"/>
    <x v="50"/>
    <m/>
    <m/>
    <x v="4"/>
    <x v="13"/>
    <m/>
    <m/>
    <n v="0"/>
  </r>
  <r>
    <x v="693"/>
    <n v="700"/>
    <x v="32"/>
    <x v="5"/>
    <s v="Muud sotsiaalabitoetused"/>
    <s v="2"/>
    <x v="1"/>
    <m/>
    <m/>
    <s v="24"/>
    <s v="Sotsiaalteenistus"/>
    <x v="99"/>
    <x v="4"/>
    <x v="97"/>
    <m/>
    <m/>
    <x v="7"/>
    <x v="42"/>
    <m/>
    <m/>
    <n v="700"/>
  </r>
  <r>
    <x v="79"/>
    <n v="500"/>
    <x v="8"/>
    <x v="3"/>
    <s v="Kinnistute, hoonete ja ruumide majandamiskulud"/>
    <s v="2"/>
    <x v="1"/>
    <m/>
    <m/>
    <s v="280"/>
    <s v="Roela, Tudu, Viru-Jaagupi teeninduspiirkond"/>
    <x v="12"/>
    <x v="0"/>
    <x v="12"/>
    <m/>
    <m/>
    <x v="4"/>
    <x v="3"/>
    <m/>
    <m/>
    <n v="500"/>
  </r>
  <r>
    <x v="694"/>
    <n v="6000"/>
    <x v="8"/>
    <x v="3"/>
    <s v="Kinnistute, hoonete ja ruumide majandamiskulud"/>
    <s v="2"/>
    <x v="1"/>
    <m/>
    <m/>
    <s v="280"/>
    <s v="Roela, Tudu, Viru-Jaagupi teeninduspiirkond"/>
    <x v="12"/>
    <x v="0"/>
    <x v="12"/>
    <m/>
    <m/>
    <x v="4"/>
    <x v="3"/>
    <m/>
    <m/>
    <n v="6000"/>
  </r>
  <r>
    <x v="695"/>
    <n v="150"/>
    <x v="8"/>
    <x v="3"/>
    <s v="Kinnistute, hoonete ja ruumide majandamiskulud"/>
    <s v="2"/>
    <x v="1"/>
    <m/>
    <m/>
    <s v="280"/>
    <s v="Roela, Tudu, Viru-Jaagupi teeninduspiirkond"/>
    <x v="12"/>
    <x v="0"/>
    <x v="12"/>
    <m/>
    <m/>
    <x v="4"/>
    <x v="3"/>
    <m/>
    <m/>
    <n v="150"/>
  </r>
  <r>
    <x v="61"/>
    <n v="150"/>
    <x v="14"/>
    <x v="3"/>
    <s v="Isikliku sõiduauto kompensatsioon"/>
    <s v="2"/>
    <x v="1"/>
    <m/>
    <m/>
    <s v="51"/>
    <s v="Laekvere Raamatukogu"/>
    <x v="11"/>
    <x v="2"/>
    <x v="11"/>
    <m/>
    <m/>
    <x v="4"/>
    <x v="5"/>
    <m/>
    <m/>
    <n v="150"/>
  </r>
  <r>
    <x v="314"/>
    <n v="1500"/>
    <x v="25"/>
    <x v="3"/>
    <s v="Kommunikatsiooni-, kultuuri- ja vaba aja sisustamise kulud"/>
    <s v="2"/>
    <x v="1"/>
    <m/>
    <m/>
    <s v="51"/>
    <s v="Laekvere Raamatukogu"/>
    <x v="11"/>
    <x v="2"/>
    <x v="11"/>
    <m/>
    <m/>
    <x v="4"/>
    <x v="5"/>
    <m/>
    <m/>
    <n v="1500"/>
  </r>
  <r>
    <x v="592"/>
    <n v="13500"/>
    <x v="48"/>
    <x v="3"/>
    <s v="Teavikute ja kunstiesemete kulud"/>
    <s v="2"/>
    <x v="1"/>
    <m/>
    <m/>
    <s v="51"/>
    <s v="Laekvere Raamatukogu"/>
    <x v="11"/>
    <x v="2"/>
    <x v="11"/>
    <m/>
    <m/>
    <x v="4"/>
    <x v="5"/>
    <m/>
    <m/>
    <n v="13500"/>
  </r>
  <r>
    <x v="571"/>
    <n v="300"/>
    <x v="41"/>
    <x v="3"/>
    <s v="Meditsiinikulud ja hügieenikulud"/>
    <s v="2"/>
    <x v="1"/>
    <m/>
    <m/>
    <s v="51"/>
    <s v="Laekvere Raamatukogu"/>
    <x v="11"/>
    <x v="2"/>
    <x v="11"/>
    <m/>
    <m/>
    <x v="4"/>
    <x v="5"/>
    <m/>
    <m/>
    <n v="300"/>
  </r>
  <r>
    <x v="533"/>
    <n v="173.71"/>
    <x v="29"/>
    <x v="3"/>
    <s v="Inventari majandamiskulud"/>
    <s v="2"/>
    <x v="1"/>
    <m/>
    <m/>
    <s v="51"/>
    <s v="Laekvere Raamatukogu"/>
    <x v="11"/>
    <x v="2"/>
    <x v="11"/>
    <m/>
    <m/>
    <x v="4"/>
    <x v="5"/>
    <m/>
    <m/>
    <n v="173.71"/>
  </r>
  <r>
    <x v="64"/>
    <n v="800"/>
    <x v="8"/>
    <x v="3"/>
    <s v="Kinnistute, hoonete ja ruumide majandamiskulud"/>
    <s v="2"/>
    <x v="1"/>
    <m/>
    <m/>
    <s v="51"/>
    <s v="Laekvere Raamatukogu"/>
    <x v="11"/>
    <x v="2"/>
    <x v="11"/>
    <m/>
    <m/>
    <x v="4"/>
    <x v="5"/>
    <m/>
    <m/>
    <n v="800"/>
  </r>
  <r>
    <x v="197"/>
    <n v="500"/>
    <x v="31"/>
    <x v="3"/>
    <s v="Koolituskulud (sh koolituslähetus)"/>
    <s v="2"/>
    <x v="1"/>
    <m/>
    <m/>
    <s v="51"/>
    <s v="Laekvere Raamatukogu"/>
    <x v="11"/>
    <x v="2"/>
    <x v="11"/>
    <m/>
    <m/>
    <x v="4"/>
    <x v="5"/>
    <m/>
    <m/>
    <n v="500"/>
  </r>
  <r>
    <x v="629"/>
    <n v="4500"/>
    <x v="9"/>
    <x v="3"/>
    <s v="Administreerimiskulud"/>
    <s v="2"/>
    <x v="1"/>
    <m/>
    <m/>
    <s v="51"/>
    <s v="Laekvere Raamatukogu"/>
    <x v="11"/>
    <x v="2"/>
    <x v="11"/>
    <m/>
    <m/>
    <x v="4"/>
    <x v="5"/>
    <m/>
    <m/>
    <n v="4500"/>
  </r>
  <r>
    <x v="658"/>
    <n v="50"/>
    <x v="10"/>
    <x v="3"/>
    <s v="Info- ja kommunikatsioonitehnoloogia kulud"/>
    <s v="2"/>
    <x v="1"/>
    <m/>
    <m/>
    <s v="44"/>
    <s v="Tudu kool"/>
    <x v="55"/>
    <x v="1"/>
    <x v="55"/>
    <m/>
    <m/>
    <x v="4"/>
    <x v="1"/>
    <m/>
    <m/>
    <n v="50"/>
  </r>
  <r>
    <x v="314"/>
    <n v="200"/>
    <x v="25"/>
    <x v="3"/>
    <s v="Kommunikatsiooni-, kultuuri- ja vaba aja sisustamise kulud"/>
    <s v="2"/>
    <x v="1"/>
    <m/>
    <m/>
    <s v="44"/>
    <s v="Tudu kool"/>
    <x v="55"/>
    <x v="1"/>
    <x v="55"/>
    <m/>
    <m/>
    <x v="4"/>
    <x v="1"/>
    <m/>
    <m/>
    <n v="200"/>
  </r>
  <r>
    <x v="570"/>
    <n v="600"/>
    <x v="15"/>
    <x v="3"/>
    <s v="Õppevahendite ja koolituse kulud"/>
    <s v="2"/>
    <x v="1"/>
    <m/>
    <m/>
    <s v="44"/>
    <s v="Tudu kool"/>
    <x v="55"/>
    <x v="1"/>
    <x v="55"/>
    <m/>
    <m/>
    <x v="4"/>
    <x v="1"/>
    <m/>
    <m/>
    <n v="600"/>
  </r>
  <r>
    <x v="533"/>
    <n v="230"/>
    <x v="29"/>
    <x v="3"/>
    <s v="Inventari majandamiskulud"/>
    <s v="2"/>
    <x v="1"/>
    <m/>
    <m/>
    <s v="44"/>
    <s v="Tudu kool"/>
    <x v="55"/>
    <x v="1"/>
    <x v="55"/>
    <m/>
    <m/>
    <x v="4"/>
    <x v="1"/>
    <m/>
    <m/>
    <n v="230"/>
  </r>
  <r>
    <x v="197"/>
    <n v="256.48"/>
    <x v="31"/>
    <x v="3"/>
    <s v="Koolituskulud (sh koolituslähetus)"/>
    <s v="2"/>
    <x v="1"/>
    <m/>
    <m/>
    <s v="44"/>
    <s v="Tudu kool"/>
    <x v="55"/>
    <x v="1"/>
    <x v="55"/>
    <m/>
    <m/>
    <x v="4"/>
    <x v="1"/>
    <m/>
    <m/>
    <n v="256.48"/>
  </r>
  <r>
    <x v="696"/>
    <n v="200"/>
    <x v="15"/>
    <x v="3"/>
    <s v="Õppevahendite ja koolituse kulud"/>
    <s v="2"/>
    <x v="1"/>
    <m/>
    <m/>
    <s v="43"/>
    <s v="Roela kool"/>
    <x v="56"/>
    <x v="1"/>
    <x v="56"/>
    <m/>
    <m/>
    <x v="4"/>
    <x v="1"/>
    <m/>
    <m/>
    <n v="200"/>
  </r>
  <r>
    <x v="697"/>
    <n v="300"/>
    <x v="15"/>
    <x v="3"/>
    <s v="Õppevahendite ja koolituse kulud"/>
    <s v="2"/>
    <x v="1"/>
    <m/>
    <m/>
    <s v="43"/>
    <s v="Roela kool"/>
    <x v="56"/>
    <x v="1"/>
    <x v="56"/>
    <m/>
    <m/>
    <x v="4"/>
    <x v="1"/>
    <m/>
    <m/>
    <n v="300"/>
  </r>
  <r>
    <x v="698"/>
    <n v="200"/>
    <x v="15"/>
    <x v="3"/>
    <s v="Õppevahendite ja koolituse kulud"/>
    <s v="2"/>
    <x v="1"/>
    <m/>
    <m/>
    <s v="43"/>
    <s v="Roela kool"/>
    <x v="56"/>
    <x v="1"/>
    <x v="56"/>
    <m/>
    <m/>
    <x v="4"/>
    <x v="1"/>
    <m/>
    <m/>
    <n v="200"/>
  </r>
  <r>
    <x v="570"/>
    <n v="2018"/>
    <x v="15"/>
    <x v="3"/>
    <s v="Õppevahendite ja koolituse kulud"/>
    <s v="2"/>
    <x v="1"/>
    <m/>
    <m/>
    <s v="43"/>
    <s v="Roela kool"/>
    <x v="56"/>
    <x v="1"/>
    <x v="56"/>
    <m/>
    <m/>
    <x v="4"/>
    <x v="1"/>
    <m/>
    <m/>
    <n v="2018"/>
  </r>
  <r>
    <x v="197"/>
    <n v="500"/>
    <x v="31"/>
    <x v="3"/>
    <s v="Koolituskulud (sh koolituslähetus)"/>
    <s v="2"/>
    <x v="1"/>
    <m/>
    <m/>
    <s v="43"/>
    <s v="Roela kool"/>
    <x v="56"/>
    <x v="1"/>
    <x v="56"/>
    <m/>
    <m/>
    <x v="4"/>
    <x v="1"/>
    <m/>
    <m/>
    <n v="500"/>
  </r>
  <r>
    <x v="699"/>
    <n v="4270"/>
    <x v="49"/>
    <x v="2"/>
    <s v="Töötasud"/>
    <s v="2"/>
    <x v="1"/>
    <m/>
    <m/>
    <s v="24"/>
    <s v="Sotsiaalteenistus"/>
    <x v="62"/>
    <x v="4"/>
    <x v="14"/>
    <m/>
    <m/>
    <x v="3"/>
    <x v="18"/>
    <m/>
    <m/>
    <n v="4270"/>
  </r>
  <r>
    <x v="700"/>
    <n v="1600"/>
    <x v="2"/>
    <x v="1"/>
    <s v="Antud sihtfinantseerimine tegevuskuludeks"/>
    <s v="2"/>
    <x v="1"/>
    <m/>
    <m/>
    <s v="24"/>
    <s v="Sotsiaalteenistus"/>
    <x v="65"/>
    <x v="4"/>
    <x v="64"/>
    <m/>
    <m/>
    <x v="2"/>
    <x v="23"/>
    <m/>
    <m/>
    <n v="1600"/>
  </r>
  <r>
    <x v="629"/>
    <n v="70"/>
    <x v="9"/>
    <x v="3"/>
    <s v="Administreerimiskulud"/>
    <s v="2"/>
    <x v="1"/>
    <m/>
    <m/>
    <s v="84"/>
    <s v="Vinni Päevakeskus"/>
    <x v="67"/>
    <x v="4"/>
    <x v="66"/>
    <m/>
    <m/>
    <x v="4"/>
    <x v="15"/>
    <m/>
    <m/>
    <n v="70"/>
  </r>
  <r>
    <x v="571"/>
    <n v="30"/>
    <x v="41"/>
    <x v="3"/>
    <s v="Meditsiinikulud ja hügieenikulud"/>
    <s v="2"/>
    <x v="1"/>
    <m/>
    <m/>
    <s v="84"/>
    <s v="Vinni Päevakeskus"/>
    <x v="67"/>
    <x v="4"/>
    <x v="66"/>
    <m/>
    <m/>
    <x v="4"/>
    <x v="15"/>
    <m/>
    <m/>
    <n v="30"/>
  </r>
  <r>
    <x v="629"/>
    <n v="200"/>
    <x v="9"/>
    <x v="3"/>
    <s v="Administreerimiskulud"/>
    <s v="2"/>
    <x v="1"/>
    <m/>
    <m/>
    <s v="84"/>
    <s v="Vinni Päevakeskus"/>
    <x v="67"/>
    <x v="4"/>
    <x v="66"/>
    <m/>
    <m/>
    <x v="4"/>
    <x v="15"/>
    <m/>
    <m/>
    <n v="200"/>
  </r>
  <r>
    <x v="314"/>
    <n v="350"/>
    <x v="25"/>
    <x v="3"/>
    <s v="Kommunikatsiooni-, kultuuri- ja vaba aja sisustamise kulud"/>
    <s v="2"/>
    <x v="1"/>
    <m/>
    <m/>
    <s v="84"/>
    <s v="Vinni Päevakeskus"/>
    <x v="67"/>
    <x v="4"/>
    <x v="66"/>
    <m/>
    <m/>
    <x v="4"/>
    <x v="15"/>
    <m/>
    <m/>
    <n v="350"/>
  </r>
  <r>
    <x v="533"/>
    <n v="70"/>
    <x v="29"/>
    <x v="3"/>
    <s v="Inventari majandamiskulud"/>
    <s v="2"/>
    <x v="1"/>
    <m/>
    <m/>
    <s v="84"/>
    <s v="Vinni Päevakeskus"/>
    <x v="67"/>
    <x v="4"/>
    <x v="66"/>
    <m/>
    <m/>
    <x v="4"/>
    <x v="15"/>
    <m/>
    <m/>
    <n v="70"/>
  </r>
  <r>
    <x v="314"/>
    <n v="1240"/>
    <x v="25"/>
    <x v="3"/>
    <s v="Kommunikatsiooni-, kultuuri- ja vaba aja sisustamise kulud"/>
    <s v="2"/>
    <x v="1"/>
    <m/>
    <m/>
    <s v="84"/>
    <s v="Vinni Päevakeskus"/>
    <x v="67"/>
    <x v="4"/>
    <x v="66"/>
    <m/>
    <m/>
    <x v="4"/>
    <x v="15"/>
    <m/>
    <m/>
    <n v="1240"/>
  </r>
  <r>
    <x v="197"/>
    <n v="50"/>
    <x v="31"/>
    <x v="3"/>
    <s v="Koolituskulud (sh koolituslähetus)"/>
    <s v="2"/>
    <x v="1"/>
    <m/>
    <m/>
    <s v="84"/>
    <s v="Vinni Päevakeskus"/>
    <x v="67"/>
    <x v="4"/>
    <x v="66"/>
    <m/>
    <m/>
    <x v="4"/>
    <x v="15"/>
    <m/>
    <m/>
    <n v="50"/>
  </r>
  <r>
    <x v="314"/>
    <n v="1040"/>
    <x v="25"/>
    <x v="3"/>
    <s v="Kommunikatsiooni-, kultuuri- ja vaba aja sisustamise kulud"/>
    <s v="2"/>
    <x v="1"/>
    <m/>
    <m/>
    <s v="84"/>
    <s v="Vinni Päevakeskus"/>
    <x v="67"/>
    <x v="4"/>
    <x v="66"/>
    <m/>
    <m/>
    <x v="4"/>
    <x v="15"/>
    <m/>
    <m/>
    <n v="1040"/>
  </r>
  <r>
    <x v="571"/>
    <n v="60"/>
    <x v="41"/>
    <x v="3"/>
    <s v="Meditsiinikulud ja hügieenikulud"/>
    <s v="2"/>
    <x v="1"/>
    <m/>
    <m/>
    <s v="35"/>
    <s v="Ulvi Lasteaed"/>
    <x v="69"/>
    <x v="1"/>
    <x v="68"/>
    <m/>
    <m/>
    <x v="4"/>
    <x v="1"/>
    <m/>
    <m/>
    <n v="60"/>
  </r>
  <r>
    <x v="701"/>
    <n v="500"/>
    <x v="29"/>
    <x v="3"/>
    <s v="Inventari majandamiskulud"/>
    <s v="2"/>
    <x v="1"/>
    <m/>
    <m/>
    <s v="35"/>
    <s v="Ulvi Lasteaed"/>
    <x v="69"/>
    <x v="1"/>
    <x v="68"/>
    <m/>
    <m/>
    <x v="4"/>
    <x v="1"/>
    <m/>
    <m/>
    <n v="500"/>
  </r>
  <r>
    <x v="623"/>
    <n v="50"/>
    <x v="9"/>
    <x v="3"/>
    <s v="Administreerimiskulud"/>
    <s v="2"/>
    <x v="1"/>
    <m/>
    <m/>
    <s v="35"/>
    <s v="Ulvi Lasteaed"/>
    <x v="69"/>
    <x v="1"/>
    <x v="68"/>
    <m/>
    <m/>
    <x v="4"/>
    <x v="1"/>
    <m/>
    <m/>
    <n v="50"/>
  </r>
  <r>
    <x v="112"/>
    <n v="1100"/>
    <x v="8"/>
    <x v="3"/>
    <s v="Kinnistute, hoonete ja ruumide majandamiskulud"/>
    <s v="2"/>
    <x v="1"/>
    <m/>
    <m/>
    <s v="35"/>
    <s v="Ulvi Lasteaed"/>
    <x v="69"/>
    <x v="1"/>
    <x v="68"/>
    <m/>
    <m/>
    <x v="4"/>
    <x v="1"/>
    <m/>
    <m/>
    <n v="1100"/>
  </r>
  <r>
    <x v="278"/>
    <n v="300"/>
    <x v="8"/>
    <x v="3"/>
    <s v="Kinnistute, hoonete ja ruumide majandamiskulud"/>
    <s v="2"/>
    <x v="1"/>
    <m/>
    <m/>
    <s v="35"/>
    <s v="Ulvi Lasteaed"/>
    <x v="69"/>
    <x v="1"/>
    <x v="68"/>
    <m/>
    <m/>
    <x v="4"/>
    <x v="1"/>
    <m/>
    <m/>
    <n v="300"/>
  </r>
  <r>
    <x v="160"/>
    <n v="3178"/>
    <x v="17"/>
    <x v="2"/>
    <s v="Töötasud võlaõiguslike lepingute alusel"/>
    <s v="2"/>
    <x v="1"/>
    <m/>
    <m/>
    <s v="35"/>
    <s v="Ulvi Lasteaed"/>
    <x v="69"/>
    <x v="1"/>
    <x v="68"/>
    <m/>
    <m/>
    <x v="3"/>
    <x v="1"/>
    <m/>
    <m/>
    <n v="3178"/>
  </r>
  <r>
    <x v="314"/>
    <n v="400"/>
    <x v="25"/>
    <x v="3"/>
    <s v="Kommunikatsiooni-, kultuuri- ja vaba aja sisustamise kulud"/>
    <s v="2"/>
    <x v="1"/>
    <m/>
    <m/>
    <s v="35"/>
    <s v="Ulvi Lasteaed"/>
    <x v="69"/>
    <x v="1"/>
    <x v="68"/>
    <m/>
    <m/>
    <x v="4"/>
    <x v="1"/>
    <m/>
    <m/>
    <n v="400"/>
  </r>
  <r>
    <x v="702"/>
    <n v="16950.41"/>
    <x v="8"/>
    <x v="3"/>
    <s v="Kinnistute, hoonete ja ruumide majandamiskulud"/>
    <s v="2"/>
    <x v="1"/>
    <m/>
    <m/>
    <s v="35"/>
    <s v="Ulvi Lasteaed"/>
    <x v="69"/>
    <x v="1"/>
    <x v="68"/>
    <m/>
    <m/>
    <x v="4"/>
    <x v="1"/>
    <m/>
    <m/>
    <n v="16950.41"/>
  </r>
  <r>
    <x v="687"/>
    <n v="500"/>
    <x v="9"/>
    <x v="3"/>
    <s v="Administreerimiskulud"/>
    <s v="2"/>
    <x v="1"/>
    <m/>
    <m/>
    <s v="35"/>
    <s v="Ulvi Lasteaed"/>
    <x v="69"/>
    <x v="1"/>
    <x v="68"/>
    <m/>
    <m/>
    <x v="4"/>
    <x v="1"/>
    <m/>
    <m/>
    <n v="500"/>
  </r>
  <r>
    <x v="570"/>
    <n v="3107"/>
    <x v="15"/>
    <x v="3"/>
    <s v="Õppevahendite ja koolituse kulud"/>
    <s v="2"/>
    <x v="1"/>
    <m/>
    <m/>
    <s v="35"/>
    <s v="Ulvi Lasteaed"/>
    <x v="69"/>
    <x v="1"/>
    <x v="68"/>
    <m/>
    <m/>
    <x v="4"/>
    <x v="1"/>
    <m/>
    <m/>
    <n v="3107"/>
  </r>
  <r>
    <x v="197"/>
    <n v="200"/>
    <x v="31"/>
    <x v="3"/>
    <s v="Koolituskulud (sh koolituslähetus)"/>
    <s v="2"/>
    <x v="1"/>
    <m/>
    <m/>
    <s v="35"/>
    <s v="Ulvi Lasteaed"/>
    <x v="69"/>
    <x v="1"/>
    <x v="68"/>
    <m/>
    <m/>
    <x v="4"/>
    <x v="1"/>
    <m/>
    <m/>
    <n v="200"/>
  </r>
  <r>
    <x v="703"/>
    <n v="15000"/>
    <x v="25"/>
    <x v="3"/>
    <s v="Kommunikatsiooni-, kultuuri- ja vaba aja sisustamise kulud"/>
    <s v="2"/>
    <x v="1"/>
    <m/>
    <m/>
    <s v="25"/>
    <s v="Haridusteenistus"/>
    <x v="70"/>
    <x v="1"/>
    <x v="69"/>
    <m/>
    <m/>
    <x v="4"/>
    <x v="20"/>
    <m/>
    <m/>
    <n v="15000"/>
  </r>
  <r>
    <x v="704"/>
    <n v="10000"/>
    <x v="15"/>
    <x v="3"/>
    <s v="Õppevahendite ja koolituse kulud"/>
    <s v="2"/>
    <x v="1"/>
    <m/>
    <m/>
    <s v="25"/>
    <s v="Haridusteenistus"/>
    <x v="70"/>
    <x v="1"/>
    <x v="69"/>
    <m/>
    <m/>
    <x v="4"/>
    <x v="20"/>
    <m/>
    <m/>
    <n v="10000"/>
  </r>
  <r>
    <x v="705"/>
    <n v="17600"/>
    <x v="25"/>
    <x v="3"/>
    <s v="Kommunikatsiooni-, kultuuri- ja vaba aja sisustamise kulud"/>
    <s v="2"/>
    <x v="1"/>
    <m/>
    <m/>
    <s v="25"/>
    <s v="Haridusteenistus"/>
    <x v="70"/>
    <x v="1"/>
    <x v="69"/>
    <m/>
    <m/>
    <x v="4"/>
    <x v="20"/>
    <m/>
    <m/>
    <n v="17600"/>
  </r>
  <r>
    <x v="706"/>
    <n v="194378.88"/>
    <x v="15"/>
    <x v="3"/>
    <s v="Õppevahendite ja koolituse kulud"/>
    <s v="2"/>
    <x v="1"/>
    <m/>
    <m/>
    <s v="25"/>
    <s v="Haridusteenistus"/>
    <x v="100"/>
    <x v="1"/>
    <x v="98"/>
    <m/>
    <m/>
    <x v="4"/>
    <x v="6"/>
    <m/>
    <m/>
    <n v="194378.88"/>
  </r>
  <r>
    <x v="707"/>
    <n v="52304"/>
    <x v="15"/>
    <x v="3"/>
    <s v="Õppevahendite ja koolituse kulud"/>
    <s v="2"/>
    <x v="1"/>
    <m/>
    <m/>
    <s v="25"/>
    <s v="Haridusteenistus"/>
    <x v="101"/>
    <x v="1"/>
    <x v="98"/>
    <m/>
    <m/>
    <x v="4"/>
    <x v="1"/>
    <m/>
    <m/>
    <n v="52304"/>
  </r>
  <r>
    <x v="708"/>
    <n v="1500"/>
    <x v="32"/>
    <x v="5"/>
    <s v="Muud sotsiaalabitoetused"/>
    <s v="2"/>
    <x v="1"/>
    <m/>
    <m/>
    <s v="24"/>
    <s v="Sotsiaalteenistus"/>
    <x v="73"/>
    <x v="4"/>
    <x v="72"/>
    <m/>
    <m/>
    <x v="7"/>
    <x v="25"/>
    <m/>
    <m/>
    <n v="1500"/>
  </r>
  <r>
    <x v="709"/>
    <n v="300"/>
    <x v="32"/>
    <x v="5"/>
    <s v="Muud sotsiaalabitoetused"/>
    <s v="2"/>
    <x v="1"/>
    <m/>
    <m/>
    <s v="24"/>
    <s v="Sotsiaalteenistus"/>
    <x v="73"/>
    <x v="4"/>
    <x v="72"/>
    <m/>
    <m/>
    <x v="7"/>
    <x v="25"/>
    <m/>
    <m/>
    <n v="300"/>
  </r>
  <r>
    <x v="710"/>
    <n v="10000"/>
    <x v="32"/>
    <x v="5"/>
    <s v="Muud sotsiaalabitoetused"/>
    <s v="2"/>
    <x v="1"/>
    <m/>
    <m/>
    <s v="24"/>
    <s v="Sotsiaalteenistus"/>
    <x v="73"/>
    <x v="4"/>
    <x v="72"/>
    <m/>
    <m/>
    <x v="7"/>
    <x v="25"/>
    <m/>
    <m/>
    <n v="10000"/>
  </r>
  <r>
    <x v="711"/>
    <n v="4500"/>
    <x v="32"/>
    <x v="5"/>
    <s v="Muud sotsiaalabitoetused"/>
    <s v="2"/>
    <x v="1"/>
    <m/>
    <m/>
    <s v="24"/>
    <s v="Sotsiaalteenistus"/>
    <x v="73"/>
    <x v="4"/>
    <x v="72"/>
    <m/>
    <m/>
    <x v="7"/>
    <x v="25"/>
    <m/>
    <m/>
    <n v="4500"/>
  </r>
  <r>
    <x v="712"/>
    <n v="480"/>
    <x v="8"/>
    <x v="3"/>
    <s v="Kinnistute, hoonete ja ruumide majandamiskulud"/>
    <s v="2"/>
    <x v="1"/>
    <m/>
    <m/>
    <s v="64"/>
    <s v="Roela Rahvamaja"/>
    <x v="79"/>
    <x v="2"/>
    <x v="78"/>
    <m/>
    <m/>
    <x v="4"/>
    <x v="19"/>
    <m/>
    <m/>
    <n v="480"/>
  </r>
  <r>
    <x v="713"/>
    <n v="390"/>
    <x v="9"/>
    <x v="3"/>
    <s v="Administreerimiskulud"/>
    <s v="2"/>
    <x v="1"/>
    <m/>
    <m/>
    <s v="64"/>
    <s v="Roela Rahvamaja"/>
    <x v="79"/>
    <x v="2"/>
    <x v="78"/>
    <m/>
    <m/>
    <x v="4"/>
    <x v="19"/>
    <m/>
    <m/>
    <n v="390"/>
  </r>
  <r>
    <x v="571"/>
    <n v="100"/>
    <x v="41"/>
    <x v="3"/>
    <s v="Meditsiinikulud ja hügieenikulud"/>
    <s v="2"/>
    <x v="1"/>
    <m/>
    <m/>
    <s v="64"/>
    <s v="Roela Rahvamaja"/>
    <x v="79"/>
    <x v="2"/>
    <x v="78"/>
    <m/>
    <m/>
    <x v="4"/>
    <x v="19"/>
    <m/>
    <m/>
    <n v="100"/>
  </r>
  <r>
    <x v="714"/>
    <n v="660"/>
    <x v="25"/>
    <x v="3"/>
    <s v="Kommunikatsiooni-, kultuuri- ja vaba aja sisustamise kulud"/>
    <s v="2"/>
    <x v="1"/>
    <m/>
    <m/>
    <s v="64"/>
    <s v="Roela Rahvamaja"/>
    <x v="79"/>
    <x v="2"/>
    <x v="78"/>
    <m/>
    <m/>
    <x v="4"/>
    <x v="19"/>
    <m/>
    <m/>
    <n v="660"/>
  </r>
  <r>
    <x v="316"/>
    <n v="528"/>
    <x v="14"/>
    <x v="3"/>
    <s v="Isikliku sõiduauto kompensatsioon"/>
    <s v="2"/>
    <x v="1"/>
    <m/>
    <m/>
    <s v="64"/>
    <s v="Roela Rahvamaja"/>
    <x v="79"/>
    <x v="2"/>
    <x v="78"/>
    <m/>
    <m/>
    <x v="4"/>
    <x v="19"/>
    <m/>
    <m/>
    <n v="528"/>
  </r>
  <r>
    <x v="715"/>
    <n v="1065"/>
    <x v="29"/>
    <x v="3"/>
    <s v="Inventari majandamiskulud"/>
    <s v="2"/>
    <x v="1"/>
    <m/>
    <m/>
    <s v="64"/>
    <s v="Roela Rahvamaja"/>
    <x v="79"/>
    <x v="2"/>
    <x v="78"/>
    <m/>
    <m/>
    <x v="4"/>
    <x v="19"/>
    <m/>
    <m/>
    <n v="1065"/>
  </r>
  <r>
    <x v="716"/>
    <n v="1300"/>
    <x v="8"/>
    <x v="3"/>
    <s v="Kinnistute, hoonete ja ruumide majandamiskulud"/>
    <s v="2"/>
    <x v="1"/>
    <m/>
    <m/>
    <s v="64"/>
    <s v="Roela Rahvamaja"/>
    <x v="79"/>
    <x v="2"/>
    <x v="78"/>
    <m/>
    <m/>
    <x v="4"/>
    <x v="19"/>
    <m/>
    <m/>
    <n v="1300"/>
  </r>
  <r>
    <x v="197"/>
    <n v="560"/>
    <x v="31"/>
    <x v="3"/>
    <s v="Koolituskulud (sh koolituslähetus)"/>
    <s v="2"/>
    <x v="1"/>
    <m/>
    <m/>
    <s v="64"/>
    <s v="Roela Rahvamaja"/>
    <x v="79"/>
    <x v="2"/>
    <x v="78"/>
    <m/>
    <m/>
    <x v="4"/>
    <x v="19"/>
    <m/>
    <m/>
    <n v="560"/>
  </r>
  <r>
    <x v="405"/>
    <n v="850"/>
    <x v="9"/>
    <x v="3"/>
    <s v="Administreerimiskulud"/>
    <s v="2"/>
    <x v="1"/>
    <m/>
    <m/>
    <s v="64"/>
    <s v="Roela Rahvamaja"/>
    <x v="79"/>
    <x v="2"/>
    <x v="78"/>
    <m/>
    <m/>
    <x v="4"/>
    <x v="19"/>
    <m/>
    <m/>
    <n v="850"/>
  </r>
  <r>
    <x v="717"/>
    <n v="430"/>
    <x v="9"/>
    <x v="3"/>
    <s v="Administreerimiskulud"/>
    <s v="2"/>
    <x v="1"/>
    <m/>
    <m/>
    <s v="64"/>
    <s v="Roela Rahvamaja"/>
    <x v="79"/>
    <x v="2"/>
    <x v="78"/>
    <m/>
    <m/>
    <x v="4"/>
    <x v="19"/>
    <m/>
    <m/>
    <n v="430"/>
  </r>
  <r>
    <x v="531"/>
    <n v="6650"/>
    <x v="25"/>
    <x v="3"/>
    <s v="Kommunikatsiooni-, kultuuri- ja vaba aja sisustamise kulud"/>
    <s v="2"/>
    <x v="1"/>
    <m/>
    <m/>
    <s v="64"/>
    <s v="Roela Rahvamaja"/>
    <x v="79"/>
    <x v="2"/>
    <x v="78"/>
    <m/>
    <m/>
    <x v="4"/>
    <x v="19"/>
    <m/>
    <m/>
    <n v="6650"/>
  </r>
  <r>
    <x v="718"/>
    <n v="1600"/>
    <x v="25"/>
    <x v="3"/>
    <s v="Kommunikatsiooni-, kultuuri- ja vaba aja sisustamise kulud"/>
    <s v="2"/>
    <x v="1"/>
    <m/>
    <m/>
    <s v="82"/>
    <s v="Ulvi Kodu"/>
    <x v="80"/>
    <x v="4"/>
    <x v="79"/>
    <m/>
    <m/>
    <x v="4"/>
    <x v="15"/>
    <m/>
    <m/>
    <n v="1600"/>
  </r>
  <r>
    <x v="63"/>
    <n v="27595"/>
    <x v="16"/>
    <x v="3"/>
    <s v="Toiduained ja toitlustusteenused"/>
    <s v="2"/>
    <x v="1"/>
    <m/>
    <m/>
    <s v="82"/>
    <s v="Ulvi Kodu"/>
    <x v="80"/>
    <x v="4"/>
    <x v="79"/>
    <m/>
    <m/>
    <x v="4"/>
    <x v="15"/>
    <m/>
    <m/>
    <n v="27595"/>
  </r>
  <r>
    <x v="719"/>
    <n v="700"/>
    <x v="29"/>
    <x v="3"/>
    <s v="Inventari majandamiskulud"/>
    <s v="2"/>
    <x v="1"/>
    <m/>
    <m/>
    <s v="82"/>
    <s v="Ulvi Kodu"/>
    <x v="80"/>
    <x v="4"/>
    <x v="79"/>
    <m/>
    <m/>
    <x v="4"/>
    <x v="15"/>
    <m/>
    <m/>
    <n v="700"/>
  </r>
  <r>
    <x v="666"/>
    <n v="700"/>
    <x v="29"/>
    <x v="3"/>
    <s v="Inventari majandamiskulud"/>
    <s v="2"/>
    <x v="1"/>
    <m/>
    <m/>
    <s v="82"/>
    <s v="Ulvi Kodu"/>
    <x v="80"/>
    <x v="4"/>
    <x v="79"/>
    <m/>
    <m/>
    <x v="4"/>
    <x v="15"/>
    <m/>
    <m/>
    <n v="700"/>
  </r>
  <r>
    <x v="720"/>
    <n v="250"/>
    <x v="29"/>
    <x v="3"/>
    <s v="Inventari majandamiskulud"/>
    <s v="2"/>
    <x v="1"/>
    <m/>
    <m/>
    <s v="82"/>
    <s v="Ulvi Kodu"/>
    <x v="80"/>
    <x v="4"/>
    <x v="79"/>
    <m/>
    <m/>
    <x v="4"/>
    <x v="15"/>
    <m/>
    <m/>
    <n v="250"/>
  </r>
  <r>
    <x v="540"/>
    <n v="500"/>
    <x v="29"/>
    <x v="3"/>
    <s v="Inventari majandamiskulud"/>
    <s v="2"/>
    <x v="1"/>
    <m/>
    <m/>
    <s v="82"/>
    <s v="Ulvi Kodu"/>
    <x v="80"/>
    <x v="4"/>
    <x v="79"/>
    <m/>
    <m/>
    <x v="4"/>
    <x v="15"/>
    <m/>
    <m/>
    <n v="500"/>
  </r>
  <r>
    <x v="721"/>
    <n v="1300"/>
    <x v="29"/>
    <x v="3"/>
    <s v="Inventari majandamiskulud"/>
    <s v="2"/>
    <x v="1"/>
    <m/>
    <m/>
    <s v="82"/>
    <s v="Ulvi Kodu"/>
    <x v="80"/>
    <x v="4"/>
    <x v="79"/>
    <m/>
    <m/>
    <x v="4"/>
    <x v="15"/>
    <m/>
    <m/>
    <n v="1300"/>
  </r>
  <r>
    <x v="722"/>
    <n v="250"/>
    <x v="29"/>
    <x v="3"/>
    <s v="Inventari majandamiskulud"/>
    <s v="2"/>
    <x v="1"/>
    <m/>
    <m/>
    <s v="82"/>
    <s v="Ulvi Kodu"/>
    <x v="80"/>
    <x v="4"/>
    <x v="79"/>
    <m/>
    <m/>
    <x v="4"/>
    <x v="15"/>
    <m/>
    <m/>
    <n v="250"/>
  </r>
  <r>
    <x v="542"/>
    <n v="173.2"/>
    <x v="10"/>
    <x v="3"/>
    <s v="Info- ja kommunikatsioonitehnoloogia kulud"/>
    <s v="2"/>
    <x v="1"/>
    <m/>
    <m/>
    <s v="82"/>
    <s v="Ulvi Kodu"/>
    <x v="80"/>
    <x v="4"/>
    <x v="79"/>
    <m/>
    <m/>
    <x v="4"/>
    <x v="15"/>
    <m/>
    <m/>
    <n v="173.2"/>
  </r>
  <r>
    <x v="723"/>
    <n v="1060"/>
    <x v="8"/>
    <x v="3"/>
    <s v="Kinnistute, hoonete ja ruumide majandamiskulud"/>
    <s v="2"/>
    <x v="1"/>
    <m/>
    <m/>
    <s v="82"/>
    <s v="Ulvi Kodu"/>
    <x v="80"/>
    <x v="4"/>
    <x v="79"/>
    <m/>
    <m/>
    <x v="4"/>
    <x v="15"/>
    <m/>
    <m/>
    <n v="1060"/>
  </r>
  <r>
    <x v="724"/>
    <n v="100"/>
    <x v="9"/>
    <x v="3"/>
    <s v="Administreerimiskulud"/>
    <s v="2"/>
    <x v="1"/>
    <m/>
    <m/>
    <s v="82"/>
    <s v="Ulvi Kodu"/>
    <x v="80"/>
    <x v="4"/>
    <x v="79"/>
    <m/>
    <m/>
    <x v="4"/>
    <x v="15"/>
    <m/>
    <m/>
    <n v="100"/>
  </r>
  <r>
    <x v="725"/>
    <n v="180"/>
    <x v="9"/>
    <x v="3"/>
    <s v="Administreerimiskulud"/>
    <s v="2"/>
    <x v="1"/>
    <m/>
    <m/>
    <s v="82"/>
    <s v="Ulvi Kodu"/>
    <x v="80"/>
    <x v="4"/>
    <x v="79"/>
    <m/>
    <m/>
    <x v="4"/>
    <x v="15"/>
    <m/>
    <m/>
    <n v="180"/>
  </r>
  <r>
    <x v="726"/>
    <n v="2000"/>
    <x v="17"/>
    <x v="2"/>
    <s v="Töötasud võlaõiguslike lepingute alusel"/>
    <s v="2"/>
    <x v="1"/>
    <m/>
    <m/>
    <s v="82"/>
    <s v="Ulvi Kodu"/>
    <x v="80"/>
    <x v="4"/>
    <x v="79"/>
    <m/>
    <m/>
    <x v="3"/>
    <x v="15"/>
    <m/>
    <m/>
    <n v="2000"/>
  </r>
  <r>
    <x v="727"/>
    <n v="10400"/>
    <x v="17"/>
    <x v="2"/>
    <s v="Töötasud võlaõiguslike lepingute alusel"/>
    <s v="2"/>
    <x v="1"/>
    <m/>
    <m/>
    <s v="82"/>
    <s v="Ulvi Kodu"/>
    <x v="80"/>
    <x v="4"/>
    <x v="79"/>
    <m/>
    <m/>
    <x v="3"/>
    <x v="15"/>
    <m/>
    <m/>
    <n v="10400"/>
  </r>
  <r>
    <x v="728"/>
    <n v="780"/>
    <x v="17"/>
    <x v="2"/>
    <s v="Töötasud võlaõiguslike lepingute alusel"/>
    <s v="2"/>
    <x v="1"/>
    <m/>
    <m/>
    <s v="82"/>
    <s v="Ulvi Kodu"/>
    <x v="80"/>
    <x v="4"/>
    <x v="79"/>
    <m/>
    <m/>
    <x v="3"/>
    <x v="15"/>
    <m/>
    <m/>
    <n v="780"/>
  </r>
  <r>
    <x v="729"/>
    <n v="1240.8"/>
    <x v="3"/>
    <x v="2"/>
    <s v="Töötajate töötasud"/>
    <s v="2"/>
    <x v="1"/>
    <m/>
    <m/>
    <s v="44"/>
    <s v="Tudu kool"/>
    <x v="44"/>
    <x v="1"/>
    <x v="44"/>
    <m/>
    <m/>
    <x v="3"/>
    <x v="6"/>
    <m/>
    <m/>
    <n v="1240.8"/>
  </r>
  <r>
    <x v="609"/>
    <n v="700"/>
    <x v="47"/>
    <x v="3"/>
    <s v="Eri- ja vormiriietus (va kaitseotstarbelised kulud)"/>
    <s v="2"/>
    <x v="1"/>
    <m/>
    <m/>
    <s v="82"/>
    <s v="Ulvi Kodu"/>
    <x v="80"/>
    <x v="4"/>
    <x v="79"/>
    <m/>
    <m/>
    <x v="4"/>
    <x v="15"/>
    <m/>
    <m/>
    <n v="700"/>
  </r>
  <r>
    <x v="730"/>
    <n v="400"/>
    <x v="23"/>
    <x v="3"/>
    <s v="Sotsiaalteenused"/>
    <s v="2"/>
    <x v="1"/>
    <m/>
    <m/>
    <s v="82"/>
    <s v="Ulvi Kodu"/>
    <x v="80"/>
    <x v="4"/>
    <x v="79"/>
    <m/>
    <m/>
    <x v="4"/>
    <x v="15"/>
    <m/>
    <m/>
    <n v="400"/>
  </r>
  <r>
    <x v="571"/>
    <n v="300"/>
    <x v="41"/>
    <x v="3"/>
    <s v="Meditsiinikulud ja hügieenikulud"/>
    <s v="2"/>
    <x v="1"/>
    <m/>
    <m/>
    <s v="82"/>
    <s v="Ulvi Kodu"/>
    <x v="80"/>
    <x v="4"/>
    <x v="79"/>
    <m/>
    <m/>
    <x v="4"/>
    <x v="15"/>
    <m/>
    <m/>
    <n v="300"/>
  </r>
  <r>
    <x v="731"/>
    <n v="560"/>
    <x v="29"/>
    <x v="3"/>
    <s v="Inventari majandamiskulud"/>
    <s v="2"/>
    <x v="1"/>
    <m/>
    <m/>
    <s v="82"/>
    <s v="Ulvi Kodu"/>
    <x v="80"/>
    <x v="4"/>
    <x v="79"/>
    <m/>
    <m/>
    <x v="4"/>
    <x v="15"/>
    <m/>
    <m/>
    <n v="560"/>
  </r>
  <r>
    <x v="732"/>
    <n v="228"/>
    <x v="10"/>
    <x v="3"/>
    <s v="Info- ja kommunikatsioonitehnoloogia kulud"/>
    <s v="2"/>
    <x v="1"/>
    <m/>
    <m/>
    <s v="82"/>
    <s v="Ulvi Kodu"/>
    <x v="80"/>
    <x v="4"/>
    <x v="79"/>
    <m/>
    <m/>
    <x v="4"/>
    <x v="15"/>
    <m/>
    <m/>
    <n v="228"/>
  </r>
  <r>
    <x v="405"/>
    <n v="28.8"/>
    <x v="10"/>
    <x v="3"/>
    <s v="Info- ja kommunikatsioonitehnoloogia kulud"/>
    <s v="2"/>
    <x v="1"/>
    <m/>
    <m/>
    <s v="82"/>
    <s v="Ulvi Kodu"/>
    <x v="80"/>
    <x v="4"/>
    <x v="79"/>
    <m/>
    <m/>
    <x v="4"/>
    <x v="15"/>
    <m/>
    <m/>
    <n v="28.8"/>
  </r>
  <r>
    <x v="133"/>
    <n v="370"/>
    <x v="10"/>
    <x v="3"/>
    <s v="Info- ja kommunikatsioonitehnoloogia kulud"/>
    <s v="2"/>
    <x v="1"/>
    <m/>
    <m/>
    <s v="82"/>
    <s v="Ulvi Kodu"/>
    <x v="80"/>
    <x v="4"/>
    <x v="79"/>
    <m/>
    <m/>
    <x v="4"/>
    <x v="15"/>
    <m/>
    <m/>
    <n v="370"/>
  </r>
  <r>
    <x v="733"/>
    <n v="100"/>
    <x v="7"/>
    <x v="3"/>
    <s v="Vesi ja kanalisatsioon"/>
    <s v="2"/>
    <x v="1"/>
    <m/>
    <m/>
    <s v="82"/>
    <s v="Ulvi Kodu"/>
    <x v="80"/>
    <x v="4"/>
    <x v="79"/>
    <m/>
    <m/>
    <x v="4"/>
    <x v="15"/>
    <m/>
    <m/>
    <n v="100"/>
  </r>
  <r>
    <x v="734"/>
    <n v="2900"/>
    <x v="7"/>
    <x v="3"/>
    <s v="Vesi ja kanalisatsioon"/>
    <s v="2"/>
    <x v="1"/>
    <m/>
    <m/>
    <s v="82"/>
    <s v="Ulvi Kodu"/>
    <x v="80"/>
    <x v="4"/>
    <x v="79"/>
    <m/>
    <m/>
    <x v="4"/>
    <x v="15"/>
    <m/>
    <m/>
    <n v="2900"/>
  </r>
  <r>
    <x v="6"/>
    <n v="5500"/>
    <x v="6"/>
    <x v="3"/>
    <s v="Elekter"/>
    <s v="2"/>
    <x v="1"/>
    <m/>
    <m/>
    <s v="82"/>
    <s v="Ulvi Kodu"/>
    <x v="80"/>
    <x v="4"/>
    <x v="79"/>
    <m/>
    <m/>
    <x v="4"/>
    <x v="15"/>
    <m/>
    <m/>
    <n v="5500"/>
  </r>
  <r>
    <x v="48"/>
    <n v="9000"/>
    <x v="5"/>
    <x v="3"/>
    <s v="Küte ja soojusenergia"/>
    <s v="2"/>
    <x v="1"/>
    <m/>
    <m/>
    <s v="82"/>
    <s v="Ulvi Kodu"/>
    <x v="80"/>
    <x v="4"/>
    <x v="79"/>
    <m/>
    <m/>
    <x v="4"/>
    <x v="15"/>
    <m/>
    <m/>
    <n v="9000"/>
  </r>
  <r>
    <x v="112"/>
    <n v="9330"/>
    <x v="8"/>
    <x v="3"/>
    <s v="Kinnistute, hoonete ja ruumide majandamiskulud"/>
    <s v="2"/>
    <x v="1"/>
    <m/>
    <m/>
    <s v="82"/>
    <s v="Ulvi Kodu"/>
    <x v="80"/>
    <x v="4"/>
    <x v="79"/>
    <m/>
    <m/>
    <x v="4"/>
    <x v="15"/>
    <m/>
    <m/>
    <n v="9330"/>
  </r>
  <r>
    <x v="197"/>
    <n v="1400"/>
    <x v="31"/>
    <x v="3"/>
    <s v="Koolituskulud (sh koolituslähetus)"/>
    <s v="2"/>
    <x v="1"/>
    <m/>
    <m/>
    <s v="82"/>
    <s v="Ulvi Kodu"/>
    <x v="80"/>
    <x v="4"/>
    <x v="79"/>
    <m/>
    <m/>
    <x v="4"/>
    <x v="15"/>
    <m/>
    <m/>
    <n v="1400"/>
  </r>
  <r>
    <x v="538"/>
    <n v="100"/>
    <x v="9"/>
    <x v="3"/>
    <s v="Administreerimiskulud"/>
    <s v="2"/>
    <x v="1"/>
    <m/>
    <m/>
    <s v="82"/>
    <s v="Ulvi Kodu"/>
    <x v="80"/>
    <x v="4"/>
    <x v="79"/>
    <m/>
    <m/>
    <x v="4"/>
    <x v="15"/>
    <m/>
    <m/>
    <n v="100"/>
  </r>
  <r>
    <x v="735"/>
    <n v="880"/>
    <x v="17"/>
    <x v="2"/>
    <s v="Töötasud võlaõiguslike lepingute alusel"/>
    <s v="2"/>
    <x v="1"/>
    <m/>
    <m/>
    <s v="82"/>
    <s v="Ulvi Kodu"/>
    <x v="80"/>
    <x v="4"/>
    <x v="79"/>
    <m/>
    <m/>
    <x v="3"/>
    <x v="15"/>
    <m/>
    <m/>
    <n v="880"/>
  </r>
  <r>
    <x v="314"/>
    <n v="3000"/>
    <x v="25"/>
    <x v="3"/>
    <s v="Kommunikatsiooni-, kultuuri- ja vaba aja sisustamise kulud"/>
    <s v="2"/>
    <x v="1"/>
    <m/>
    <m/>
    <s v="67"/>
    <s v="Venevere Seltsimaja"/>
    <x v="81"/>
    <x v="2"/>
    <x v="80"/>
    <m/>
    <m/>
    <x v="4"/>
    <x v="19"/>
    <m/>
    <m/>
    <n v="3000"/>
  </r>
  <r>
    <x v="736"/>
    <n v="775"/>
    <x v="10"/>
    <x v="3"/>
    <s v="Info- ja kommunikatsioonitehnoloogia kulud"/>
    <s v="2"/>
    <x v="1"/>
    <m/>
    <m/>
    <s v="67"/>
    <s v="Venevere Seltsimaja"/>
    <x v="81"/>
    <x v="2"/>
    <x v="80"/>
    <m/>
    <m/>
    <x v="4"/>
    <x v="19"/>
    <m/>
    <m/>
    <n v="775"/>
  </r>
  <r>
    <x v="61"/>
    <n v="500"/>
    <x v="14"/>
    <x v="3"/>
    <s v="Isikliku sõiduauto kompensatsioon"/>
    <s v="2"/>
    <x v="1"/>
    <m/>
    <m/>
    <s v="67"/>
    <s v="Venevere Seltsimaja"/>
    <x v="81"/>
    <x v="2"/>
    <x v="80"/>
    <m/>
    <m/>
    <x v="4"/>
    <x v="19"/>
    <m/>
    <m/>
    <n v="500"/>
  </r>
  <r>
    <x v="5"/>
    <n v="1000"/>
    <x v="5"/>
    <x v="3"/>
    <s v="Küte ja soojusenergia"/>
    <s v="2"/>
    <x v="1"/>
    <m/>
    <m/>
    <s v="67"/>
    <s v="Venevere Seltsimaja"/>
    <x v="81"/>
    <x v="2"/>
    <x v="80"/>
    <m/>
    <m/>
    <x v="4"/>
    <x v="19"/>
    <m/>
    <m/>
    <n v="1000"/>
  </r>
  <r>
    <x v="737"/>
    <n v="120"/>
    <x v="8"/>
    <x v="3"/>
    <s v="Kinnistute, hoonete ja ruumide majandamiskulud"/>
    <s v="2"/>
    <x v="1"/>
    <m/>
    <m/>
    <s v="67"/>
    <s v="Venevere Seltsimaja"/>
    <x v="81"/>
    <x v="2"/>
    <x v="80"/>
    <m/>
    <m/>
    <x v="4"/>
    <x v="19"/>
    <m/>
    <m/>
    <n v="120"/>
  </r>
  <r>
    <x v="738"/>
    <n v="800"/>
    <x v="8"/>
    <x v="3"/>
    <s v="Kinnistute, hoonete ja ruumide majandamiskulud"/>
    <s v="2"/>
    <x v="1"/>
    <m/>
    <m/>
    <s v="67"/>
    <s v="Venevere Seltsimaja"/>
    <x v="81"/>
    <x v="2"/>
    <x v="80"/>
    <m/>
    <m/>
    <x v="4"/>
    <x v="19"/>
    <m/>
    <m/>
    <n v="800"/>
  </r>
  <r>
    <x v="112"/>
    <n v="1500"/>
    <x v="8"/>
    <x v="3"/>
    <s v="Kinnistute, hoonete ja ruumide majandamiskulud"/>
    <s v="2"/>
    <x v="1"/>
    <m/>
    <m/>
    <s v="67"/>
    <s v="Venevere Seltsimaja"/>
    <x v="81"/>
    <x v="2"/>
    <x v="80"/>
    <m/>
    <m/>
    <x v="4"/>
    <x v="19"/>
    <m/>
    <m/>
    <n v="1500"/>
  </r>
  <r>
    <x v="739"/>
    <n v="50"/>
    <x v="8"/>
    <x v="3"/>
    <s v="Kinnistute, hoonete ja ruumide majandamiskulud"/>
    <s v="2"/>
    <x v="1"/>
    <m/>
    <m/>
    <s v="67"/>
    <s v="Venevere Seltsimaja"/>
    <x v="81"/>
    <x v="2"/>
    <x v="80"/>
    <m/>
    <m/>
    <x v="4"/>
    <x v="19"/>
    <m/>
    <m/>
    <n v="50"/>
  </r>
  <r>
    <x v="740"/>
    <n v="200"/>
    <x v="8"/>
    <x v="3"/>
    <s v="Kinnistute, hoonete ja ruumide majandamiskulud"/>
    <s v="2"/>
    <x v="1"/>
    <m/>
    <m/>
    <s v="67"/>
    <s v="Venevere Seltsimaja"/>
    <x v="81"/>
    <x v="2"/>
    <x v="80"/>
    <m/>
    <m/>
    <x v="4"/>
    <x v="19"/>
    <m/>
    <m/>
    <n v="200"/>
  </r>
  <r>
    <x v="197"/>
    <n v="100"/>
    <x v="31"/>
    <x v="3"/>
    <s v="Koolituskulud (sh koolituslähetus)"/>
    <s v="2"/>
    <x v="1"/>
    <m/>
    <m/>
    <s v="67"/>
    <s v="Venevere Seltsimaja"/>
    <x v="81"/>
    <x v="2"/>
    <x v="80"/>
    <m/>
    <m/>
    <x v="4"/>
    <x v="19"/>
    <m/>
    <m/>
    <n v="100"/>
  </r>
  <r>
    <x v="629"/>
    <n v="300"/>
    <x v="9"/>
    <x v="3"/>
    <s v="Administreerimiskulud"/>
    <s v="2"/>
    <x v="1"/>
    <m/>
    <m/>
    <s v="67"/>
    <s v="Venevere Seltsimaja"/>
    <x v="81"/>
    <x v="2"/>
    <x v="80"/>
    <m/>
    <m/>
    <x v="4"/>
    <x v="19"/>
    <m/>
    <m/>
    <n v="300"/>
  </r>
  <r>
    <x v="741"/>
    <n v="250"/>
    <x v="9"/>
    <x v="3"/>
    <s v="Administreerimiskulud"/>
    <s v="2"/>
    <x v="1"/>
    <m/>
    <m/>
    <s v="57"/>
    <s v="Vinni Raamatukogu"/>
    <x v="5"/>
    <x v="2"/>
    <x v="5"/>
    <m/>
    <m/>
    <x v="4"/>
    <x v="5"/>
    <m/>
    <m/>
    <n v="250"/>
  </r>
  <r>
    <x v="687"/>
    <n v="90"/>
    <x v="9"/>
    <x v="3"/>
    <s v="Administreerimiskulud"/>
    <s v="2"/>
    <x v="1"/>
    <m/>
    <m/>
    <s v="57"/>
    <s v="Vinni Raamatukogu"/>
    <x v="5"/>
    <x v="2"/>
    <x v="5"/>
    <m/>
    <m/>
    <x v="4"/>
    <x v="5"/>
    <m/>
    <m/>
    <n v="90"/>
  </r>
  <r>
    <x v="742"/>
    <n v="35"/>
    <x v="8"/>
    <x v="3"/>
    <s v="Kinnistute, hoonete ja ruumide majandamiskulud"/>
    <s v="2"/>
    <x v="1"/>
    <m/>
    <m/>
    <s v="57"/>
    <s v="Vinni Raamatukogu"/>
    <x v="5"/>
    <x v="2"/>
    <x v="5"/>
    <m/>
    <m/>
    <x v="4"/>
    <x v="5"/>
    <m/>
    <m/>
    <n v="35"/>
  </r>
  <r>
    <x v="743"/>
    <n v="800"/>
    <x v="28"/>
    <x v="3"/>
    <s v="Mitmesugused majanduskulud"/>
    <s v="2"/>
    <x v="1"/>
    <m/>
    <m/>
    <s v="57"/>
    <s v="Vinni Raamatukogu"/>
    <x v="5"/>
    <x v="2"/>
    <x v="5"/>
    <m/>
    <m/>
    <x v="4"/>
    <x v="5"/>
    <m/>
    <m/>
    <n v="800"/>
  </r>
  <r>
    <x v="314"/>
    <n v="400"/>
    <x v="25"/>
    <x v="3"/>
    <s v="Kommunikatsiooni-, kultuuri- ja vaba aja sisustamise kulud"/>
    <s v="2"/>
    <x v="1"/>
    <m/>
    <m/>
    <s v="57"/>
    <s v="Vinni Raamatukogu"/>
    <x v="5"/>
    <x v="2"/>
    <x v="5"/>
    <m/>
    <m/>
    <x v="4"/>
    <x v="5"/>
    <m/>
    <m/>
    <n v="400"/>
  </r>
  <r>
    <x v="592"/>
    <n v="7200"/>
    <x v="48"/>
    <x v="3"/>
    <s v="Teavikute ja kunstiesemete kulud"/>
    <s v="2"/>
    <x v="1"/>
    <m/>
    <m/>
    <s v="57"/>
    <s v="Vinni Raamatukogu"/>
    <x v="5"/>
    <x v="2"/>
    <x v="5"/>
    <m/>
    <m/>
    <x v="4"/>
    <x v="5"/>
    <m/>
    <m/>
    <n v="7200"/>
  </r>
  <r>
    <x v="112"/>
    <n v="150"/>
    <x v="8"/>
    <x v="3"/>
    <s v="Kinnistute, hoonete ja ruumide majandamiskulud"/>
    <s v="2"/>
    <x v="1"/>
    <m/>
    <m/>
    <s v="57"/>
    <s v="Vinni Raamatukogu"/>
    <x v="5"/>
    <x v="2"/>
    <x v="5"/>
    <m/>
    <m/>
    <x v="4"/>
    <x v="5"/>
    <m/>
    <m/>
    <n v="150"/>
  </r>
  <r>
    <x v="197"/>
    <n v="350"/>
    <x v="31"/>
    <x v="3"/>
    <s v="Koolituskulud (sh koolituslähetus)"/>
    <s v="2"/>
    <x v="1"/>
    <m/>
    <m/>
    <s v="57"/>
    <s v="Vinni Raamatukogu"/>
    <x v="5"/>
    <x v="2"/>
    <x v="5"/>
    <m/>
    <m/>
    <x v="4"/>
    <x v="5"/>
    <m/>
    <m/>
    <n v="350"/>
  </r>
  <r>
    <x v="591"/>
    <n v="2600"/>
    <x v="9"/>
    <x v="3"/>
    <s v="Administreerimiskulud"/>
    <s v="2"/>
    <x v="1"/>
    <m/>
    <m/>
    <s v="57"/>
    <s v="Vinni Raamatukogu"/>
    <x v="5"/>
    <x v="2"/>
    <x v="5"/>
    <m/>
    <m/>
    <x v="4"/>
    <x v="5"/>
    <m/>
    <m/>
    <n v="2600"/>
  </r>
  <r>
    <x v="4"/>
    <n v="197.39"/>
    <x v="4"/>
    <x v="2"/>
    <s v="Tööjõukuludega kaasnevad maksud ja sotsiaalkindlustusmaksed"/>
    <s v="2"/>
    <x v="1"/>
    <m/>
    <m/>
    <s v="57"/>
    <s v="Vinni Raamatukogu"/>
    <x v="5"/>
    <x v="2"/>
    <x v="5"/>
    <m/>
    <m/>
    <x v="3"/>
    <x v="5"/>
    <m/>
    <m/>
    <n v="197.39"/>
  </r>
  <r>
    <x v="744"/>
    <n v="584"/>
    <x v="3"/>
    <x v="2"/>
    <s v="Töötajate töötasud"/>
    <s v="2"/>
    <x v="1"/>
    <m/>
    <m/>
    <s v="57"/>
    <s v="Vinni Raamatukogu"/>
    <x v="5"/>
    <x v="2"/>
    <x v="5"/>
    <m/>
    <m/>
    <x v="3"/>
    <x v="5"/>
    <m/>
    <m/>
    <n v="584"/>
  </r>
  <r>
    <x v="745"/>
    <n v="296218"/>
    <x v="3"/>
    <x v="2"/>
    <s v="Töötajate töötasud"/>
    <s v="2"/>
    <x v="1"/>
    <m/>
    <m/>
    <s v="83"/>
    <s v="Vinni Perekodu"/>
    <x v="102"/>
    <x v="4"/>
    <x v="99"/>
    <m/>
    <m/>
    <x v="3"/>
    <x v="37"/>
    <m/>
    <m/>
    <n v="296218"/>
  </r>
  <r>
    <x v="746"/>
    <n v="5600"/>
    <x v="8"/>
    <x v="3"/>
    <s v="Kinnistute, hoonete ja ruumide majandamiskulud"/>
    <s v="2"/>
    <x v="1"/>
    <m/>
    <m/>
    <s v="83"/>
    <s v="Vinni Perekodu"/>
    <x v="102"/>
    <x v="4"/>
    <x v="99"/>
    <m/>
    <m/>
    <x v="4"/>
    <x v="37"/>
    <m/>
    <m/>
    <n v="5600"/>
  </r>
  <r>
    <x v="747"/>
    <n v="20280"/>
    <x v="29"/>
    <x v="3"/>
    <s v="Inventari majandamiskulud"/>
    <s v="2"/>
    <x v="1"/>
    <m/>
    <m/>
    <s v="83"/>
    <s v="Vinni Perekodu"/>
    <x v="102"/>
    <x v="4"/>
    <x v="99"/>
    <m/>
    <m/>
    <x v="4"/>
    <x v="37"/>
    <m/>
    <m/>
    <n v="20280"/>
  </r>
  <r>
    <x v="748"/>
    <n v="66660"/>
    <x v="16"/>
    <x v="3"/>
    <s v="Toiduained ja toitlustusteenused"/>
    <s v="2"/>
    <x v="1"/>
    <m/>
    <m/>
    <s v="83"/>
    <s v="Vinni Perekodu"/>
    <x v="102"/>
    <x v="4"/>
    <x v="99"/>
    <m/>
    <m/>
    <x v="4"/>
    <x v="37"/>
    <m/>
    <m/>
    <n v="66660"/>
  </r>
  <r>
    <x v="314"/>
    <n v="31710"/>
    <x v="25"/>
    <x v="3"/>
    <s v="Kommunikatsiooni-, kultuuri- ja vaba aja sisustamise kulud"/>
    <s v="2"/>
    <x v="1"/>
    <m/>
    <m/>
    <s v="83"/>
    <s v="Vinni Perekodu"/>
    <x v="102"/>
    <x v="4"/>
    <x v="99"/>
    <m/>
    <m/>
    <x v="4"/>
    <x v="37"/>
    <m/>
    <m/>
    <n v="31710"/>
  </r>
  <r>
    <x v="749"/>
    <n v="19680"/>
    <x v="41"/>
    <x v="3"/>
    <s v="Meditsiinikulud ja hügieenikulud"/>
    <s v="2"/>
    <x v="1"/>
    <m/>
    <m/>
    <s v="83"/>
    <s v="Vinni Perekodu"/>
    <x v="102"/>
    <x v="4"/>
    <x v="99"/>
    <m/>
    <m/>
    <x v="4"/>
    <x v="37"/>
    <m/>
    <m/>
    <n v="19680"/>
  </r>
  <r>
    <x v="116"/>
    <n v="4680"/>
    <x v="11"/>
    <x v="3"/>
    <s v="Kütus"/>
    <s v="2"/>
    <x v="1"/>
    <m/>
    <m/>
    <s v="83"/>
    <s v="Vinni Perekodu"/>
    <x v="102"/>
    <x v="4"/>
    <x v="99"/>
    <m/>
    <m/>
    <x v="4"/>
    <x v="37"/>
    <m/>
    <m/>
    <n v="4680"/>
  </r>
  <r>
    <x v="655"/>
    <n v="1200"/>
    <x v="30"/>
    <x v="3"/>
    <s v="Sõidukite ülalpidamise kulud"/>
    <s v="2"/>
    <x v="1"/>
    <m/>
    <m/>
    <s v="83"/>
    <s v="Vinni Perekodu"/>
    <x v="102"/>
    <x v="4"/>
    <x v="99"/>
    <m/>
    <m/>
    <x v="4"/>
    <x v="37"/>
    <m/>
    <m/>
    <n v="1200"/>
  </r>
  <r>
    <x v="203"/>
    <n v="1200"/>
    <x v="12"/>
    <x v="3"/>
    <s v="Kindlustus"/>
    <s v="2"/>
    <x v="1"/>
    <m/>
    <m/>
    <s v="83"/>
    <s v="Vinni Perekodu"/>
    <x v="102"/>
    <x v="4"/>
    <x v="99"/>
    <m/>
    <m/>
    <x v="4"/>
    <x v="37"/>
    <m/>
    <m/>
    <n v="1200"/>
  </r>
  <r>
    <x v="750"/>
    <n v="6221.64"/>
    <x v="13"/>
    <x v="3"/>
    <s v="Sõidukite kasutusrent"/>
    <s v="2"/>
    <x v="1"/>
    <m/>
    <m/>
    <s v="83"/>
    <s v="Vinni Perekodu"/>
    <x v="102"/>
    <x v="4"/>
    <x v="99"/>
    <m/>
    <m/>
    <x v="4"/>
    <x v="37"/>
    <m/>
    <m/>
    <n v="6221.64"/>
  </r>
  <r>
    <x v="751"/>
    <n v="4978.25"/>
    <x v="13"/>
    <x v="3"/>
    <s v="Sõidukite kasutusrent"/>
    <s v="2"/>
    <x v="1"/>
    <m/>
    <m/>
    <s v="83"/>
    <s v="Vinni Perekodu"/>
    <x v="102"/>
    <x v="4"/>
    <x v="99"/>
    <m/>
    <m/>
    <x v="4"/>
    <x v="37"/>
    <m/>
    <m/>
    <n v="4978.25"/>
  </r>
  <r>
    <x v="752"/>
    <n v="5780"/>
    <x v="8"/>
    <x v="3"/>
    <s v="Kinnistute, hoonete ja ruumide majandamiskulud"/>
    <s v="2"/>
    <x v="1"/>
    <m/>
    <m/>
    <s v="83"/>
    <s v="Vinni Perekodu"/>
    <x v="102"/>
    <x v="4"/>
    <x v="99"/>
    <m/>
    <m/>
    <x v="4"/>
    <x v="37"/>
    <m/>
    <m/>
    <n v="5780"/>
  </r>
  <r>
    <x v="753"/>
    <n v="2000"/>
    <x v="8"/>
    <x v="3"/>
    <s v="Kinnistute, hoonete ja ruumide majandamiskulud"/>
    <s v="2"/>
    <x v="1"/>
    <m/>
    <m/>
    <s v="83"/>
    <s v="Vinni Perekodu"/>
    <x v="102"/>
    <x v="4"/>
    <x v="99"/>
    <m/>
    <m/>
    <x v="4"/>
    <x v="37"/>
    <m/>
    <m/>
    <n v="2000"/>
  </r>
  <r>
    <x v="754"/>
    <n v="320"/>
    <x v="8"/>
    <x v="3"/>
    <s v="Kinnistute, hoonete ja ruumide majandamiskulud"/>
    <s v="2"/>
    <x v="1"/>
    <m/>
    <m/>
    <s v="83"/>
    <s v="Vinni Perekodu"/>
    <x v="102"/>
    <x v="4"/>
    <x v="99"/>
    <m/>
    <m/>
    <x v="4"/>
    <x v="37"/>
    <m/>
    <m/>
    <n v="320"/>
  </r>
  <r>
    <x v="755"/>
    <n v="1570"/>
    <x v="8"/>
    <x v="3"/>
    <s v="Kinnistute, hoonete ja ruumide majandamiskulud"/>
    <s v="2"/>
    <x v="1"/>
    <m/>
    <m/>
    <s v="83"/>
    <s v="Vinni Perekodu"/>
    <x v="102"/>
    <x v="4"/>
    <x v="99"/>
    <m/>
    <m/>
    <x v="4"/>
    <x v="37"/>
    <m/>
    <m/>
    <n v="1570"/>
  </r>
  <r>
    <x v="112"/>
    <n v="27414.11"/>
    <x v="8"/>
    <x v="3"/>
    <s v="Kinnistute, hoonete ja ruumide majandamiskulud"/>
    <s v="2"/>
    <x v="1"/>
    <m/>
    <m/>
    <s v="83"/>
    <s v="Vinni Perekodu"/>
    <x v="102"/>
    <x v="4"/>
    <x v="99"/>
    <m/>
    <m/>
    <x v="4"/>
    <x v="37"/>
    <m/>
    <m/>
    <n v="27414.11"/>
  </r>
  <r>
    <x v="6"/>
    <n v="32760"/>
    <x v="8"/>
    <x v="3"/>
    <s v="Kinnistute, hoonete ja ruumide majandamiskulud"/>
    <s v="2"/>
    <x v="1"/>
    <m/>
    <m/>
    <s v="83"/>
    <s v="Vinni Perekodu"/>
    <x v="102"/>
    <x v="4"/>
    <x v="99"/>
    <m/>
    <m/>
    <x v="4"/>
    <x v="37"/>
    <m/>
    <m/>
    <n v="32760"/>
  </r>
  <r>
    <x v="756"/>
    <n v="12960"/>
    <x v="15"/>
    <x v="3"/>
    <s v="Õppevahendite ja koolituse kulud"/>
    <s v="2"/>
    <x v="1"/>
    <m/>
    <m/>
    <s v="83"/>
    <s v="Vinni Perekodu"/>
    <x v="102"/>
    <x v="4"/>
    <x v="99"/>
    <m/>
    <m/>
    <x v="4"/>
    <x v="37"/>
    <m/>
    <m/>
    <n v="12960"/>
  </r>
  <r>
    <x v="757"/>
    <n v="8000"/>
    <x v="15"/>
    <x v="3"/>
    <s v="Õppevahendite ja koolituse kulud"/>
    <s v="2"/>
    <x v="1"/>
    <m/>
    <m/>
    <s v="83"/>
    <s v="Vinni Perekodu"/>
    <x v="102"/>
    <x v="4"/>
    <x v="99"/>
    <m/>
    <m/>
    <x v="4"/>
    <x v="37"/>
    <m/>
    <m/>
    <n v="8000"/>
  </r>
  <r>
    <x v="629"/>
    <n v="10500"/>
    <x v="9"/>
    <x v="3"/>
    <s v="Administreerimiskulud"/>
    <s v="2"/>
    <x v="1"/>
    <m/>
    <m/>
    <s v="83"/>
    <s v="Vinni Perekodu"/>
    <x v="102"/>
    <x v="4"/>
    <x v="99"/>
    <m/>
    <m/>
    <x v="4"/>
    <x v="37"/>
    <m/>
    <m/>
    <n v="10500"/>
  </r>
  <r>
    <x v="4"/>
    <n v="142392"/>
    <x v="4"/>
    <x v="2"/>
    <s v="Tööjõukuludega kaasnevad maksud ja sotsiaalkindlustusmaksed"/>
    <s v="2"/>
    <x v="1"/>
    <m/>
    <m/>
    <s v="83"/>
    <s v="Vinni Perekodu"/>
    <x v="102"/>
    <x v="4"/>
    <x v="99"/>
    <m/>
    <m/>
    <x v="3"/>
    <x v="37"/>
    <m/>
    <m/>
    <n v="142392"/>
  </r>
  <r>
    <x v="758"/>
    <n v="39000"/>
    <x v="3"/>
    <x v="2"/>
    <s v="Töötajate töötasud"/>
    <s v="2"/>
    <x v="1"/>
    <m/>
    <m/>
    <s v="83"/>
    <s v="Vinni Perekodu"/>
    <x v="102"/>
    <x v="4"/>
    <x v="99"/>
    <m/>
    <m/>
    <x v="3"/>
    <x v="37"/>
    <m/>
    <m/>
    <n v="39000"/>
  </r>
  <r>
    <x v="41"/>
    <n v="17550"/>
    <x v="3"/>
    <x v="2"/>
    <s v="Töötajate töötasud"/>
    <s v="2"/>
    <x v="1"/>
    <m/>
    <m/>
    <s v="83"/>
    <s v="Vinni Perekodu"/>
    <x v="102"/>
    <x v="4"/>
    <x v="99"/>
    <m/>
    <m/>
    <x v="3"/>
    <x v="37"/>
    <m/>
    <m/>
    <n v="17550"/>
  </r>
  <r>
    <x v="13"/>
    <n v="23400"/>
    <x v="3"/>
    <x v="2"/>
    <s v="Töötajate töötasud"/>
    <s v="2"/>
    <x v="1"/>
    <m/>
    <m/>
    <s v="83"/>
    <s v="Vinni Perekodu"/>
    <x v="102"/>
    <x v="4"/>
    <x v="99"/>
    <m/>
    <m/>
    <x v="3"/>
    <x v="37"/>
    <m/>
    <m/>
    <n v="23400"/>
  </r>
  <r>
    <x v="343"/>
    <n v="17550"/>
    <x v="3"/>
    <x v="2"/>
    <s v="Töötajate töötasud"/>
    <s v="2"/>
    <x v="1"/>
    <m/>
    <m/>
    <s v="83"/>
    <s v="Vinni Perekodu"/>
    <x v="102"/>
    <x v="4"/>
    <x v="99"/>
    <m/>
    <m/>
    <x v="3"/>
    <x v="37"/>
    <m/>
    <m/>
    <n v="17550"/>
  </r>
  <r>
    <x v="759"/>
    <n v="10010"/>
    <x v="3"/>
    <x v="2"/>
    <s v="Töötajate töötasud"/>
    <s v="2"/>
    <x v="1"/>
    <m/>
    <m/>
    <s v="83"/>
    <s v="Vinni Perekodu"/>
    <x v="102"/>
    <x v="4"/>
    <x v="99"/>
    <m/>
    <m/>
    <x v="3"/>
    <x v="37"/>
    <m/>
    <m/>
    <n v="10010"/>
  </r>
  <r>
    <x v="760"/>
    <n v="17550"/>
    <x v="3"/>
    <x v="2"/>
    <s v="Töötajate töötasud"/>
    <s v="2"/>
    <x v="1"/>
    <m/>
    <m/>
    <s v="83"/>
    <s v="Vinni Perekodu"/>
    <x v="102"/>
    <x v="4"/>
    <x v="99"/>
    <m/>
    <m/>
    <x v="3"/>
    <x v="37"/>
    <m/>
    <m/>
    <n v="17550"/>
  </r>
  <r>
    <x v="761"/>
    <n v="10800"/>
    <x v="32"/>
    <x v="5"/>
    <s v="Muud sotsiaalabitoetused"/>
    <s v="2"/>
    <x v="1"/>
    <m/>
    <m/>
    <s v="83"/>
    <s v="Vinni Perekodu"/>
    <x v="102"/>
    <x v="4"/>
    <x v="99"/>
    <m/>
    <m/>
    <x v="7"/>
    <x v="37"/>
    <m/>
    <m/>
    <n v="10800"/>
  </r>
  <r>
    <x v="762"/>
    <n v="2000"/>
    <x v="8"/>
    <x v="3"/>
    <s v="Kinnistute, hoonete ja ruumide majandamiskulud"/>
    <s v="2"/>
    <x v="1"/>
    <m/>
    <m/>
    <s v="43"/>
    <s v="Roela kool"/>
    <x v="34"/>
    <x v="1"/>
    <x v="34"/>
    <m/>
    <m/>
    <x v="4"/>
    <x v="6"/>
    <m/>
    <m/>
    <n v="2000"/>
  </r>
  <r>
    <x v="763"/>
    <n v="1000"/>
    <x v="30"/>
    <x v="3"/>
    <s v="Sõidukite ülalpidamise kulud"/>
    <s v="2"/>
    <x v="1"/>
    <m/>
    <m/>
    <s v="43"/>
    <s v="Roela kool"/>
    <x v="34"/>
    <x v="1"/>
    <x v="34"/>
    <m/>
    <m/>
    <x v="4"/>
    <x v="6"/>
    <m/>
    <m/>
    <n v="1000"/>
  </r>
  <r>
    <x v="764"/>
    <n v="500"/>
    <x v="30"/>
    <x v="3"/>
    <s v="Sõidukite ülalpidamise kulud"/>
    <s v="2"/>
    <x v="1"/>
    <m/>
    <m/>
    <s v="43"/>
    <s v="Roela kool"/>
    <x v="34"/>
    <x v="1"/>
    <x v="34"/>
    <m/>
    <m/>
    <x v="4"/>
    <x v="6"/>
    <m/>
    <m/>
    <n v="500"/>
  </r>
  <r>
    <x v="765"/>
    <n v="620"/>
    <x v="30"/>
    <x v="3"/>
    <s v="Sõidukite ülalpidamise kulud"/>
    <s v="2"/>
    <x v="1"/>
    <m/>
    <m/>
    <s v="43"/>
    <s v="Roela kool"/>
    <x v="34"/>
    <x v="1"/>
    <x v="34"/>
    <m/>
    <m/>
    <x v="4"/>
    <x v="6"/>
    <m/>
    <m/>
    <n v="620"/>
  </r>
  <r>
    <x v="766"/>
    <n v="20"/>
    <x v="10"/>
    <x v="3"/>
    <s v="Info- ja kommunikatsioonitehnoloogia kulud"/>
    <s v="2"/>
    <x v="1"/>
    <m/>
    <m/>
    <s v="43"/>
    <s v="Roela kool"/>
    <x v="34"/>
    <x v="1"/>
    <x v="34"/>
    <m/>
    <m/>
    <x v="4"/>
    <x v="6"/>
    <m/>
    <m/>
    <n v="20"/>
  </r>
  <r>
    <x v="767"/>
    <n v="1700"/>
    <x v="10"/>
    <x v="3"/>
    <s v="Info- ja kommunikatsioonitehnoloogia kulud"/>
    <s v="2"/>
    <x v="1"/>
    <m/>
    <m/>
    <s v="43"/>
    <s v="Roela kool"/>
    <x v="34"/>
    <x v="1"/>
    <x v="34"/>
    <m/>
    <m/>
    <x v="4"/>
    <x v="6"/>
    <m/>
    <m/>
    <n v="1700"/>
  </r>
  <r>
    <x v="768"/>
    <n v="200"/>
    <x v="29"/>
    <x v="3"/>
    <s v="Inventari majandamiskulud"/>
    <s v="2"/>
    <x v="1"/>
    <m/>
    <m/>
    <s v="43"/>
    <s v="Roela kool"/>
    <x v="34"/>
    <x v="1"/>
    <x v="34"/>
    <m/>
    <m/>
    <x v="4"/>
    <x v="6"/>
    <m/>
    <m/>
    <n v="200"/>
  </r>
  <r>
    <x v="769"/>
    <n v="200"/>
    <x v="29"/>
    <x v="3"/>
    <s v="Inventari majandamiskulud"/>
    <s v="2"/>
    <x v="1"/>
    <m/>
    <m/>
    <s v="43"/>
    <s v="Roela kool"/>
    <x v="34"/>
    <x v="1"/>
    <x v="34"/>
    <m/>
    <m/>
    <x v="4"/>
    <x v="6"/>
    <m/>
    <m/>
    <n v="200"/>
  </r>
  <r>
    <x v="770"/>
    <n v="1000"/>
    <x v="41"/>
    <x v="3"/>
    <s v="Meditsiinikulud ja hügieenikulud"/>
    <s v="2"/>
    <x v="1"/>
    <m/>
    <m/>
    <s v="43"/>
    <s v="Roela kool"/>
    <x v="34"/>
    <x v="1"/>
    <x v="34"/>
    <m/>
    <m/>
    <x v="4"/>
    <x v="6"/>
    <m/>
    <m/>
    <n v="1000"/>
  </r>
  <r>
    <x v="771"/>
    <n v="100"/>
    <x v="41"/>
    <x v="3"/>
    <s v="Meditsiinikulud ja hügieenikulud"/>
    <s v="2"/>
    <x v="1"/>
    <m/>
    <m/>
    <s v="43"/>
    <s v="Roela kool"/>
    <x v="34"/>
    <x v="1"/>
    <x v="34"/>
    <m/>
    <m/>
    <x v="4"/>
    <x v="6"/>
    <m/>
    <m/>
    <n v="100"/>
  </r>
  <r>
    <x v="772"/>
    <n v="150"/>
    <x v="41"/>
    <x v="3"/>
    <s v="Meditsiinikulud ja hügieenikulud"/>
    <s v="2"/>
    <x v="1"/>
    <m/>
    <m/>
    <s v="43"/>
    <s v="Roela kool"/>
    <x v="34"/>
    <x v="1"/>
    <x v="34"/>
    <m/>
    <m/>
    <x v="4"/>
    <x v="6"/>
    <m/>
    <m/>
    <n v="150"/>
  </r>
  <r>
    <x v="773"/>
    <n v="150"/>
    <x v="15"/>
    <x v="3"/>
    <s v="Õppevahendite ja koolituse kulud"/>
    <s v="2"/>
    <x v="1"/>
    <m/>
    <m/>
    <s v="43"/>
    <s v="Roela kool"/>
    <x v="34"/>
    <x v="1"/>
    <x v="34"/>
    <m/>
    <m/>
    <x v="4"/>
    <x v="6"/>
    <m/>
    <m/>
    <n v="150"/>
  </r>
  <r>
    <x v="774"/>
    <n v="300"/>
    <x v="15"/>
    <x v="3"/>
    <s v="Õppevahendite ja koolituse kulud"/>
    <s v="2"/>
    <x v="1"/>
    <m/>
    <m/>
    <s v="43"/>
    <s v="Roela kool"/>
    <x v="34"/>
    <x v="1"/>
    <x v="34"/>
    <m/>
    <m/>
    <x v="4"/>
    <x v="6"/>
    <m/>
    <m/>
    <n v="300"/>
  </r>
  <r>
    <x v="775"/>
    <n v="200"/>
    <x v="15"/>
    <x v="3"/>
    <s v="Õppevahendite ja koolituse kulud"/>
    <s v="2"/>
    <x v="1"/>
    <m/>
    <m/>
    <s v="43"/>
    <s v="Roela kool"/>
    <x v="34"/>
    <x v="1"/>
    <x v="34"/>
    <m/>
    <m/>
    <x v="4"/>
    <x v="6"/>
    <m/>
    <m/>
    <n v="200"/>
  </r>
  <r>
    <x v="776"/>
    <n v="300"/>
    <x v="15"/>
    <x v="3"/>
    <s v="Õppevahendite ja koolituse kulud"/>
    <s v="2"/>
    <x v="1"/>
    <m/>
    <m/>
    <s v="43"/>
    <s v="Roela kool"/>
    <x v="34"/>
    <x v="1"/>
    <x v="34"/>
    <m/>
    <m/>
    <x v="4"/>
    <x v="6"/>
    <m/>
    <m/>
    <n v="300"/>
  </r>
  <r>
    <x v="777"/>
    <n v="300"/>
    <x v="15"/>
    <x v="3"/>
    <s v="Õppevahendite ja koolituse kulud"/>
    <s v="2"/>
    <x v="1"/>
    <m/>
    <m/>
    <s v="43"/>
    <s v="Roela kool"/>
    <x v="34"/>
    <x v="1"/>
    <x v="34"/>
    <m/>
    <m/>
    <x v="4"/>
    <x v="6"/>
    <m/>
    <m/>
    <n v="300"/>
  </r>
  <r>
    <x v="537"/>
    <n v="1200"/>
    <x v="15"/>
    <x v="3"/>
    <s v="Õppevahendite ja koolituse kulud"/>
    <s v="2"/>
    <x v="1"/>
    <m/>
    <m/>
    <s v="43"/>
    <s v="Roela kool"/>
    <x v="34"/>
    <x v="1"/>
    <x v="34"/>
    <m/>
    <m/>
    <x v="4"/>
    <x v="6"/>
    <m/>
    <m/>
    <n v="1200"/>
  </r>
  <r>
    <x v="778"/>
    <n v="276"/>
    <x v="15"/>
    <x v="3"/>
    <s v="Õppevahendite ja koolituse kulud"/>
    <s v="2"/>
    <x v="1"/>
    <m/>
    <m/>
    <s v="43"/>
    <s v="Roela kool"/>
    <x v="34"/>
    <x v="1"/>
    <x v="34"/>
    <m/>
    <m/>
    <x v="4"/>
    <x v="6"/>
    <m/>
    <m/>
    <n v="276"/>
  </r>
  <r>
    <x v="779"/>
    <n v="1000"/>
    <x v="15"/>
    <x v="3"/>
    <s v=" "/>
    <s v="2"/>
    <x v="1"/>
    <m/>
    <m/>
    <s v="43"/>
    <s v="Roela kool"/>
    <x v="34"/>
    <x v="1"/>
    <x v="34"/>
    <m/>
    <m/>
    <x v="4"/>
    <x v="6"/>
    <m/>
    <m/>
    <n v="1000"/>
  </r>
  <r>
    <x v="780"/>
    <n v="3500"/>
    <x v="15"/>
    <x v="3"/>
    <s v="Õppevahendite ja koolituse kulud"/>
    <s v="2"/>
    <x v="1"/>
    <m/>
    <m/>
    <s v="43"/>
    <s v="Roela kool"/>
    <x v="34"/>
    <x v="1"/>
    <x v="34"/>
    <m/>
    <m/>
    <x v="4"/>
    <x v="6"/>
    <m/>
    <m/>
    <n v="3500"/>
  </r>
  <r>
    <x v="781"/>
    <n v="200"/>
    <x v="15"/>
    <x v="3"/>
    <s v="Õppevahendite ja koolituse kulud"/>
    <s v="2"/>
    <x v="1"/>
    <m/>
    <m/>
    <s v="43"/>
    <s v="Roela kool"/>
    <x v="34"/>
    <x v="1"/>
    <x v="34"/>
    <m/>
    <m/>
    <x v="4"/>
    <x v="6"/>
    <m/>
    <m/>
    <n v="200"/>
  </r>
  <r>
    <x v="782"/>
    <n v="700"/>
    <x v="25"/>
    <x v="3"/>
    <s v="Kommunikatsiooni-, kultuuri- ja vaba aja sisustamise kulud"/>
    <s v="2"/>
    <x v="1"/>
    <m/>
    <m/>
    <s v="43"/>
    <s v="Roela kool"/>
    <x v="34"/>
    <x v="1"/>
    <x v="34"/>
    <m/>
    <m/>
    <x v="4"/>
    <x v="6"/>
    <m/>
    <m/>
    <n v="700"/>
  </r>
  <r>
    <x v="783"/>
    <n v="100"/>
    <x v="25"/>
    <x v="3"/>
    <s v="Kommunikatsiooni-, kultuuri- ja vaba aja sisustamise kulud"/>
    <s v="2"/>
    <x v="1"/>
    <m/>
    <m/>
    <s v="43"/>
    <s v="Roela kool"/>
    <x v="34"/>
    <x v="1"/>
    <x v="34"/>
    <m/>
    <m/>
    <x v="4"/>
    <x v="6"/>
    <m/>
    <m/>
    <n v="100"/>
  </r>
  <r>
    <x v="784"/>
    <n v="200"/>
    <x v="25"/>
    <x v="3"/>
    <s v="Kommunikatsiooni-, kultuuri- ja vaba aja sisustamise kulud"/>
    <s v="2"/>
    <x v="1"/>
    <m/>
    <m/>
    <s v="43"/>
    <s v="Roela kool"/>
    <x v="34"/>
    <x v="1"/>
    <x v="34"/>
    <m/>
    <m/>
    <x v="4"/>
    <x v="6"/>
    <m/>
    <m/>
    <n v="200"/>
  </r>
  <r>
    <x v="785"/>
    <n v="150"/>
    <x v="25"/>
    <x v="3"/>
    <s v="Kommunikatsiooni-, kultuuri- ja vaba aja sisustamise kulud"/>
    <s v="2"/>
    <x v="1"/>
    <m/>
    <m/>
    <s v="43"/>
    <s v="Roela kool"/>
    <x v="34"/>
    <x v="1"/>
    <x v="34"/>
    <m/>
    <m/>
    <x v="4"/>
    <x v="6"/>
    <m/>
    <m/>
    <n v="150"/>
  </r>
  <r>
    <x v="698"/>
    <n v="300"/>
    <x v="25"/>
    <x v="3"/>
    <s v="Kommunikatsiooni-, kultuuri- ja vaba aja sisustamise kulud"/>
    <s v="2"/>
    <x v="1"/>
    <m/>
    <m/>
    <s v="43"/>
    <s v="Roela kool"/>
    <x v="34"/>
    <x v="1"/>
    <x v="34"/>
    <m/>
    <m/>
    <x v="4"/>
    <x v="6"/>
    <m/>
    <m/>
    <n v="300"/>
  </r>
  <r>
    <x v="48"/>
    <n v="39960"/>
    <x v="5"/>
    <x v="3"/>
    <s v="Küte ja soojusenergia"/>
    <s v="2"/>
    <x v="1"/>
    <m/>
    <m/>
    <s v="43"/>
    <s v="Roela kool"/>
    <x v="34"/>
    <x v="1"/>
    <x v="34"/>
    <s v=""/>
    <s v=""/>
    <x v="4"/>
    <x v="6"/>
    <m/>
    <m/>
    <n v="39960"/>
  </r>
  <r>
    <x v="6"/>
    <n v="8220"/>
    <x v="6"/>
    <x v="3"/>
    <s v="Elekter"/>
    <s v="2"/>
    <x v="1"/>
    <m/>
    <m/>
    <s v="43"/>
    <s v="Roela kool"/>
    <x v="34"/>
    <x v="1"/>
    <x v="34"/>
    <s v=""/>
    <s v=""/>
    <x v="4"/>
    <x v="6"/>
    <m/>
    <m/>
    <n v="8220"/>
  </r>
  <r>
    <x v="7"/>
    <n v="1920"/>
    <x v="7"/>
    <x v="3"/>
    <s v="Vesi ja kanalisatsioon"/>
    <s v="2"/>
    <x v="1"/>
    <m/>
    <m/>
    <s v="43"/>
    <s v="Roela kool"/>
    <x v="34"/>
    <x v="1"/>
    <x v="34"/>
    <s v=""/>
    <s v=""/>
    <x v="4"/>
    <x v="6"/>
    <m/>
    <m/>
    <n v="1920"/>
  </r>
  <r>
    <x v="116"/>
    <n v="3300"/>
    <x v="11"/>
    <x v="3"/>
    <s v="Kütus"/>
    <s v="2"/>
    <x v="1"/>
    <m/>
    <m/>
    <s v="43"/>
    <s v="Roela kool"/>
    <x v="34"/>
    <x v="1"/>
    <x v="34"/>
    <s v=""/>
    <s v=""/>
    <x v="4"/>
    <x v="6"/>
    <m/>
    <m/>
    <n v="3300"/>
  </r>
  <r>
    <x v="786"/>
    <n v="640"/>
    <x v="14"/>
    <x v="3"/>
    <s v="Isikliku sõiduauto kompensatsioon"/>
    <s v="2"/>
    <x v="1"/>
    <m/>
    <m/>
    <s v="43"/>
    <s v="Roela kool"/>
    <x v="34"/>
    <x v="1"/>
    <x v="34"/>
    <s v=""/>
    <s v=""/>
    <x v="4"/>
    <x v="6"/>
    <m/>
    <m/>
    <n v="640"/>
  </r>
  <r>
    <x v="787"/>
    <n v="385"/>
    <x v="14"/>
    <x v="3"/>
    <s v="Isikliku sõiduauto kompensatsioon"/>
    <s v="2"/>
    <x v="1"/>
    <m/>
    <m/>
    <s v="43"/>
    <s v="Roela kool"/>
    <x v="34"/>
    <x v="1"/>
    <x v="34"/>
    <s v=""/>
    <s v=""/>
    <x v="4"/>
    <x v="6"/>
    <m/>
    <m/>
    <n v="385"/>
  </r>
  <r>
    <x v="788"/>
    <n v="640"/>
    <x v="14"/>
    <x v="3"/>
    <s v="Isikliku sõiduauto kompensatsioon"/>
    <s v="2"/>
    <x v="1"/>
    <m/>
    <m/>
    <s v="43"/>
    <s v="Roela kool"/>
    <x v="34"/>
    <x v="1"/>
    <x v="34"/>
    <s v=""/>
    <s v=""/>
    <x v="4"/>
    <x v="6"/>
    <m/>
    <m/>
    <n v="640"/>
  </r>
  <r>
    <x v="789"/>
    <n v="640"/>
    <x v="14"/>
    <x v="3"/>
    <s v="Isikliku sõiduauto kompensatsioon"/>
    <s v="2"/>
    <x v="1"/>
    <m/>
    <m/>
    <s v="43"/>
    <s v="Roela kool"/>
    <x v="34"/>
    <x v="1"/>
    <x v="34"/>
    <s v=""/>
    <s v=""/>
    <x v="4"/>
    <x v="6"/>
    <m/>
    <m/>
    <n v="640"/>
  </r>
  <r>
    <x v="790"/>
    <n v="704"/>
    <x v="14"/>
    <x v="3"/>
    <s v="Isikliku sõiduauto kompensatsioon"/>
    <s v="2"/>
    <x v="1"/>
    <m/>
    <m/>
    <s v="43"/>
    <s v="Roela kool"/>
    <x v="34"/>
    <x v="1"/>
    <x v="34"/>
    <s v=""/>
    <s v=""/>
    <x v="4"/>
    <x v="6"/>
    <m/>
    <m/>
    <n v="704"/>
  </r>
  <r>
    <x v="215"/>
    <n v="704"/>
    <x v="14"/>
    <x v="3"/>
    <s v="Isikliku sõiduauto kompensatsioon"/>
    <s v="2"/>
    <x v="1"/>
    <m/>
    <m/>
    <s v="43"/>
    <s v="Roela kool"/>
    <x v="34"/>
    <x v="1"/>
    <x v="34"/>
    <s v=""/>
    <s v=""/>
    <x v="4"/>
    <x v="6"/>
    <m/>
    <m/>
    <n v="704"/>
  </r>
  <r>
    <x v="791"/>
    <n v="320"/>
    <x v="14"/>
    <x v="3"/>
    <s v="Isikliku sõiduauto kompensatsioon"/>
    <s v="2"/>
    <x v="1"/>
    <m/>
    <m/>
    <s v="43"/>
    <s v="Roela kool"/>
    <x v="34"/>
    <x v="1"/>
    <x v="34"/>
    <m/>
    <m/>
    <x v="4"/>
    <x v="6"/>
    <m/>
    <m/>
    <n v="320"/>
  </r>
  <r>
    <x v="792"/>
    <n v="640"/>
    <x v="14"/>
    <x v="3"/>
    <s v="Isikliku sõiduauto kompensatsioon"/>
    <s v="2"/>
    <x v="1"/>
    <m/>
    <m/>
    <s v="43"/>
    <s v="Roela kool"/>
    <x v="34"/>
    <x v="1"/>
    <x v="34"/>
    <m/>
    <m/>
    <x v="4"/>
    <x v="6"/>
    <m/>
    <m/>
    <n v="640"/>
  </r>
  <r>
    <x v="793"/>
    <n v="300"/>
    <x v="9"/>
    <x v="3"/>
    <s v="Administreerimiskulud"/>
    <s v="2"/>
    <x v="1"/>
    <m/>
    <m/>
    <s v="290"/>
    <s v="Ulvi, Vinni-Pajusti teeninduspiirkond"/>
    <x v="3"/>
    <x v="0"/>
    <x v="3"/>
    <m/>
    <m/>
    <x v="4"/>
    <x v="3"/>
    <m/>
    <m/>
    <n v="300"/>
  </r>
  <r>
    <x v="794"/>
    <n v="12000"/>
    <x v="8"/>
    <x v="3"/>
    <s v="Kinnistute, hoonete ja ruumide majandamiskulud"/>
    <s v="2"/>
    <x v="1"/>
    <m/>
    <m/>
    <s v="290"/>
    <s v="Ulvi, Vinni-Pajusti teeninduspiirkond"/>
    <x v="3"/>
    <x v="0"/>
    <x v="3"/>
    <m/>
    <m/>
    <x v="4"/>
    <x v="3"/>
    <m/>
    <m/>
    <n v="12000"/>
  </r>
  <r>
    <x v="795"/>
    <n v="360"/>
    <x v="8"/>
    <x v="3"/>
    <s v="Kinnistute, hoonete ja ruumide majandamiskulud"/>
    <s v="2"/>
    <x v="1"/>
    <m/>
    <m/>
    <s v="290"/>
    <s v="Ulvi, Vinni-Pajusti teeninduspiirkond"/>
    <x v="3"/>
    <x v="0"/>
    <x v="3"/>
    <m/>
    <m/>
    <x v="4"/>
    <x v="3"/>
    <m/>
    <m/>
    <n v="360"/>
  </r>
  <r>
    <x v="601"/>
    <n v="1500"/>
    <x v="8"/>
    <x v="3"/>
    <s v="Kinnistute, hoonete ja ruumide majandamiskulud"/>
    <s v="2"/>
    <x v="1"/>
    <m/>
    <m/>
    <s v="290"/>
    <s v="Ulvi, Vinni-Pajusti teeninduspiirkond"/>
    <x v="3"/>
    <x v="0"/>
    <x v="3"/>
    <m/>
    <m/>
    <x v="4"/>
    <x v="3"/>
    <m/>
    <m/>
    <n v="1500"/>
  </r>
  <r>
    <x v="796"/>
    <n v="810"/>
    <x v="8"/>
    <x v="3"/>
    <s v="Kinnistute, hoonete ja ruumide majandamiskulud"/>
    <s v="2"/>
    <x v="1"/>
    <m/>
    <m/>
    <s v="290"/>
    <s v="Ulvi, Vinni-Pajusti teeninduspiirkond"/>
    <x v="3"/>
    <x v="0"/>
    <x v="3"/>
    <m/>
    <m/>
    <x v="4"/>
    <x v="3"/>
    <m/>
    <m/>
    <n v="810"/>
  </r>
  <r>
    <x v="797"/>
    <n v="1000"/>
    <x v="29"/>
    <x v="3"/>
    <s v="Inventari majandamiskulud"/>
    <s v="2"/>
    <x v="1"/>
    <m/>
    <m/>
    <s v="290"/>
    <s v="Ulvi, Vinni-Pajusti teeninduspiirkond"/>
    <x v="3"/>
    <x v="0"/>
    <x v="3"/>
    <m/>
    <m/>
    <x v="4"/>
    <x v="3"/>
    <m/>
    <m/>
    <n v="1000"/>
  </r>
  <r>
    <x v="609"/>
    <n v="1000"/>
    <x v="47"/>
    <x v="3"/>
    <s v="Eri- ja vormiriietus (va kaitseotstarbelised kulud)"/>
    <s v="2"/>
    <x v="1"/>
    <m/>
    <m/>
    <s v="290"/>
    <s v="Ulvi, Vinni-Pajusti teeninduspiirkond"/>
    <x v="3"/>
    <x v="0"/>
    <x v="3"/>
    <m/>
    <m/>
    <x v="4"/>
    <x v="3"/>
    <m/>
    <m/>
    <n v="1000"/>
  </r>
  <r>
    <x v="197"/>
    <n v="300"/>
    <x v="31"/>
    <x v="3"/>
    <s v="Koolituskulud (sh koolituslähetus)"/>
    <s v="2"/>
    <x v="1"/>
    <m/>
    <m/>
    <s v="290"/>
    <s v="Ulvi, Vinni-Pajusti teeninduspiirkond"/>
    <x v="3"/>
    <x v="0"/>
    <x v="3"/>
    <m/>
    <m/>
    <x v="4"/>
    <x v="3"/>
    <m/>
    <m/>
    <n v="300"/>
  </r>
  <r>
    <x v="314"/>
    <n v="300"/>
    <x v="25"/>
    <x v="3"/>
    <s v="Kommunikatsiooni-, kultuuri- ja vaba aja sisustamise kulud"/>
    <s v="2"/>
    <x v="1"/>
    <m/>
    <m/>
    <s v="290"/>
    <s v="Ulvi, Vinni-Pajusti teeninduspiirkond"/>
    <x v="3"/>
    <x v="0"/>
    <x v="3"/>
    <m/>
    <m/>
    <x v="4"/>
    <x v="3"/>
    <m/>
    <m/>
    <n v="300"/>
  </r>
  <r>
    <x v="571"/>
    <n v="100"/>
    <x v="41"/>
    <x v="3"/>
    <s v="Meditsiinikulud ja hügieenikulud"/>
    <s v="2"/>
    <x v="1"/>
    <m/>
    <m/>
    <s v="290"/>
    <s v="Ulvi, Vinni-Pajusti teeninduspiirkond"/>
    <x v="3"/>
    <x v="0"/>
    <x v="3"/>
    <m/>
    <m/>
    <x v="4"/>
    <x v="3"/>
    <m/>
    <m/>
    <n v="100"/>
  </r>
  <r>
    <x v="798"/>
    <n v="1400"/>
    <x v="12"/>
    <x v="3"/>
    <s v="Kindlustus"/>
    <s v="2"/>
    <x v="1"/>
    <m/>
    <m/>
    <s v="290"/>
    <s v="Ulvi, Vinni-Pajusti teeninduspiirkond"/>
    <x v="3"/>
    <x v="0"/>
    <x v="3"/>
    <m/>
    <m/>
    <x v="4"/>
    <x v="3"/>
    <m/>
    <m/>
    <n v="1400"/>
  </r>
  <r>
    <x v="655"/>
    <n v="9200"/>
    <x v="30"/>
    <x v="3"/>
    <s v="Sõidukite ülalpidamise kulud"/>
    <s v="2"/>
    <x v="1"/>
    <m/>
    <m/>
    <s v="290"/>
    <s v="Ulvi, Vinni-Pajusti teeninduspiirkond"/>
    <x v="3"/>
    <x v="0"/>
    <x v="3"/>
    <m/>
    <m/>
    <x v="4"/>
    <x v="3"/>
    <m/>
    <m/>
    <n v="9200"/>
  </r>
  <r>
    <x v="799"/>
    <n v="800"/>
    <x v="8"/>
    <x v="3"/>
    <s v="Kinnistute, hoonete ja ruumide majandamiskulud"/>
    <s v="2"/>
    <x v="1"/>
    <m/>
    <m/>
    <s v="290"/>
    <s v="Ulvi, Vinni-Pajusti teeninduspiirkond"/>
    <x v="3"/>
    <x v="0"/>
    <x v="3"/>
    <m/>
    <m/>
    <x v="4"/>
    <x v="3"/>
    <m/>
    <m/>
    <n v="800"/>
  </r>
  <r>
    <x v="800"/>
    <n v="8000"/>
    <x v="8"/>
    <x v="3"/>
    <s v="Kinnistute, hoonete ja ruumide majandamiskulud"/>
    <s v="2"/>
    <x v="1"/>
    <m/>
    <m/>
    <s v="290"/>
    <s v="Ulvi, Vinni-Pajusti teeninduspiirkond"/>
    <x v="3"/>
    <x v="0"/>
    <x v="3"/>
    <m/>
    <m/>
    <x v="4"/>
    <x v="3"/>
    <m/>
    <m/>
    <n v="8000"/>
  </r>
  <r>
    <x v="694"/>
    <n v="8000"/>
    <x v="8"/>
    <x v="3"/>
    <s v="Kinnistute, hoonete ja ruumide majandamiskulud"/>
    <s v="2"/>
    <x v="1"/>
    <m/>
    <m/>
    <s v="290"/>
    <s v="Ulvi, Vinni-Pajusti teeninduspiirkond"/>
    <x v="3"/>
    <x v="0"/>
    <x v="3"/>
    <m/>
    <m/>
    <x v="4"/>
    <x v="3"/>
    <m/>
    <m/>
    <n v="8000"/>
  </r>
  <r>
    <x v="4"/>
    <n v="5019.3"/>
    <x v="4"/>
    <x v="2"/>
    <s v="Tööjõukuludega kaasnevad maksud ja sotsiaalkindlustusmaksed"/>
    <s v="2"/>
    <x v="1"/>
    <m/>
    <m/>
    <s v="290"/>
    <s v="Ulvi, Vinni-Pajusti teeninduspiirkond"/>
    <x v="3"/>
    <x v="0"/>
    <x v="3"/>
    <m/>
    <m/>
    <x v="3"/>
    <x v="3"/>
    <m/>
    <m/>
    <n v="5019.3"/>
  </r>
  <r>
    <x v="117"/>
    <n v="10000"/>
    <x v="17"/>
    <x v="2"/>
    <s v="Töötasud võlaõiguslike lepingute alusel"/>
    <s v="2"/>
    <x v="1"/>
    <m/>
    <m/>
    <s v="290"/>
    <s v="Ulvi, Vinni-Pajusti teeninduspiirkond"/>
    <x v="3"/>
    <x v="0"/>
    <x v="3"/>
    <m/>
    <m/>
    <x v="3"/>
    <x v="3"/>
    <m/>
    <m/>
    <n v="10000"/>
  </r>
  <r>
    <x v="801"/>
    <n v="3000"/>
    <x v="8"/>
    <x v="3"/>
    <s v="Kinnistute, hoonete ja ruumide majandamiskulud"/>
    <s v="2"/>
    <x v="1"/>
    <m/>
    <m/>
    <s v="24"/>
    <s v="Sotsiaalteenistus"/>
    <x v="83"/>
    <x v="4"/>
    <x v="82"/>
    <m/>
    <m/>
    <x v="4"/>
    <x v="30"/>
    <m/>
    <m/>
    <n v="3000"/>
  </r>
  <r>
    <x v="802"/>
    <n v="12000"/>
    <x v="8"/>
    <x v="3"/>
    <s v="Kinnistute, hoonete ja ruumide majandamiskulud"/>
    <s v="2"/>
    <x v="1"/>
    <m/>
    <m/>
    <s v="24"/>
    <s v="Sotsiaalteenistus"/>
    <x v="83"/>
    <x v="4"/>
    <x v="82"/>
    <m/>
    <m/>
    <x v="4"/>
    <x v="30"/>
    <m/>
    <m/>
    <n v="12000"/>
  </r>
  <r>
    <x v="803"/>
    <n v="1400"/>
    <x v="29"/>
    <x v="3"/>
    <s v="Inventari majandamiskulud"/>
    <s v="2"/>
    <x v="1"/>
    <m/>
    <m/>
    <s v="62"/>
    <s v="Laekvere Rahvamaja"/>
    <x v="88"/>
    <x v="2"/>
    <x v="87"/>
    <m/>
    <m/>
    <x v="4"/>
    <x v="19"/>
    <m/>
    <m/>
    <n v="1400"/>
  </r>
  <r>
    <x v="804"/>
    <n v="190"/>
    <x v="9"/>
    <x v="3"/>
    <s v="Administreerimiskulud"/>
    <s v="2"/>
    <x v="1"/>
    <m/>
    <m/>
    <s v="62"/>
    <s v="Laekvere Rahvamaja"/>
    <x v="88"/>
    <x v="2"/>
    <x v="87"/>
    <m/>
    <m/>
    <x v="4"/>
    <x v="19"/>
    <m/>
    <m/>
    <n v="190"/>
  </r>
  <r>
    <x v="805"/>
    <n v="300"/>
    <x v="31"/>
    <x v="3"/>
    <s v="Koolituskulud (sh koolituslähetus)"/>
    <s v="2"/>
    <x v="1"/>
    <m/>
    <m/>
    <s v="62"/>
    <s v="Laekvere Rahvamaja"/>
    <x v="88"/>
    <x v="2"/>
    <x v="87"/>
    <m/>
    <m/>
    <x v="4"/>
    <x v="19"/>
    <m/>
    <m/>
    <n v="300"/>
  </r>
  <r>
    <x v="806"/>
    <n v="1000"/>
    <x v="8"/>
    <x v="3"/>
    <s v="Kinnistute, hoonete ja ruumide majandamiskulud"/>
    <s v="2"/>
    <x v="1"/>
    <m/>
    <m/>
    <s v="62"/>
    <s v="Laekvere Rahvamaja"/>
    <x v="88"/>
    <x v="2"/>
    <x v="87"/>
    <m/>
    <m/>
    <x v="4"/>
    <x v="19"/>
    <m/>
    <m/>
    <n v="1000"/>
  </r>
  <r>
    <x v="807"/>
    <n v="470"/>
    <x v="31"/>
    <x v="3"/>
    <s v="Koolituskulud (sh koolituslähetus)"/>
    <s v="2"/>
    <x v="1"/>
    <m/>
    <m/>
    <s v="62"/>
    <s v="Laekvere Rahvamaja"/>
    <x v="88"/>
    <x v="2"/>
    <x v="87"/>
    <m/>
    <m/>
    <x v="4"/>
    <x v="19"/>
    <m/>
    <m/>
    <n v="470"/>
  </r>
  <r>
    <x v="808"/>
    <n v="100"/>
    <x v="9"/>
    <x v="3"/>
    <s v="Administreerimiskulud"/>
    <s v="2"/>
    <x v="1"/>
    <m/>
    <m/>
    <s v="62"/>
    <s v="Laekvere Rahvamaja"/>
    <x v="88"/>
    <x v="2"/>
    <x v="87"/>
    <m/>
    <m/>
    <x v="4"/>
    <x v="19"/>
    <m/>
    <m/>
    <n v="100"/>
  </r>
  <r>
    <x v="809"/>
    <n v="972"/>
    <x v="17"/>
    <x v="2"/>
    <s v="Töötasud võlaõiguslike lepingute alusel"/>
    <s v="2"/>
    <x v="1"/>
    <m/>
    <m/>
    <s v="62"/>
    <s v="Laekvere Rahvamaja"/>
    <x v="88"/>
    <x v="2"/>
    <x v="87"/>
    <m/>
    <m/>
    <x v="3"/>
    <x v="19"/>
    <m/>
    <m/>
    <n v="972"/>
  </r>
  <r>
    <x v="810"/>
    <n v="612"/>
    <x v="17"/>
    <x v="2"/>
    <s v="Töötasud võlaõiguslike lepingute alusel"/>
    <s v="2"/>
    <x v="1"/>
    <m/>
    <m/>
    <s v="62"/>
    <s v="Laekvere Rahvamaja"/>
    <x v="88"/>
    <x v="2"/>
    <x v="87"/>
    <m/>
    <m/>
    <x v="3"/>
    <x v="19"/>
    <m/>
    <m/>
    <n v="612"/>
  </r>
  <r>
    <x v="811"/>
    <n v="972"/>
    <x v="17"/>
    <x v="2"/>
    <s v="Töötasud võlaõiguslike lepingute alusel"/>
    <s v="2"/>
    <x v="1"/>
    <m/>
    <m/>
    <s v="62"/>
    <s v="Laekvere Rahvamaja"/>
    <x v="88"/>
    <x v="2"/>
    <x v="87"/>
    <m/>
    <m/>
    <x v="3"/>
    <x v="19"/>
    <m/>
    <m/>
    <n v="972"/>
  </r>
  <r>
    <x v="314"/>
    <n v="13502.57"/>
    <x v="25"/>
    <x v="3"/>
    <s v="Kommunikatsiooni-, kultuuri- ja vaba aja sisustamise kulud"/>
    <s v="2"/>
    <x v="1"/>
    <m/>
    <m/>
    <s v="62"/>
    <s v="Laekvere Rahvamaja"/>
    <x v="88"/>
    <x v="2"/>
    <x v="87"/>
    <m/>
    <m/>
    <x v="4"/>
    <x v="19"/>
    <m/>
    <m/>
    <n v="13502.57"/>
  </r>
  <r>
    <x v="533"/>
    <n v="1000"/>
    <x v="29"/>
    <x v="3"/>
    <s v="Inventari majandamiskulud"/>
    <s v="2"/>
    <x v="1"/>
    <m/>
    <m/>
    <s v="62"/>
    <s v="Laekvere Rahvamaja"/>
    <x v="88"/>
    <x v="2"/>
    <x v="87"/>
    <m/>
    <m/>
    <x v="4"/>
    <x v="19"/>
    <m/>
    <m/>
    <n v="1000"/>
  </r>
  <r>
    <x v="812"/>
    <n v="700"/>
    <x v="8"/>
    <x v="3"/>
    <s v="Kinnistute, hoonete ja ruumide majandamiskulud"/>
    <s v="2"/>
    <x v="1"/>
    <m/>
    <m/>
    <s v="62"/>
    <s v="Laekvere Rahvamaja"/>
    <x v="88"/>
    <x v="2"/>
    <x v="87"/>
    <m/>
    <m/>
    <x v="4"/>
    <x v="19"/>
    <m/>
    <m/>
    <n v="700"/>
  </r>
  <r>
    <x v="813"/>
    <n v="3000"/>
    <x v="8"/>
    <x v="3"/>
    <s v="Kinnistute, hoonete ja ruumide majandamiskulud"/>
    <s v="2"/>
    <x v="1"/>
    <m/>
    <m/>
    <s v="62"/>
    <s v="Laekvere Rahvamaja"/>
    <x v="88"/>
    <x v="2"/>
    <x v="87"/>
    <m/>
    <m/>
    <x v="4"/>
    <x v="19"/>
    <m/>
    <m/>
    <n v="3000"/>
  </r>
  <r>
    <x v="814"/>
    <n v="2000"/>
    <x v="8"/>
    <x v="3"/>
    <s v="Kinnistute, hoonete ja ruumide majandamiskulud"/>
    <s v="2"/>
    <x v="1"/>
    <m/>
    <m/>
    <s v="62"/>
    <s v="Laekvere Rahvamaja"/>
    <x v="88"/>
    <x v="2"/>
    <x v="87"/>
    <m/>
    <m/>
    <x v="4"/>
    <x v="19"/>
    <m/>
    <m/>
    <n v="2000"/>
  </r>
  <r>
    <x v="197"/>
    <n v="600"/>
    <x v="31"/>
    <x v="3"/>
    <s v="Koolituskulud (sh koolituslähetus)"/>
    <s v="2"/>
    <x v="1"/>
    <m/>
    <m/>
    <s v="62"/>
    <s v="Laekvere Rahvamaja"/>
    <x v="88"/>
    <x v="2"/>
    <x v="87"/>
    <m/>
    <m/>
    <x v="4"/>
    <x v="19"/>
    <m/>
    <m/>
    <n v="600"/>
  </r>
  <r>
    <x v="717"/>
    <n v="300"/>
    <x v="9"/>
    <x v="3"/>
    <s v="Administreerimiskulud"/>
    <s v="2"/>
    <x v="1"/>
    <m/>
    <m/>
    <s v="62"/>
    <s v="Laekvere Rahvamaja"/>
    <x v="88"/>
    <x v="2"/>
    <x v="87"/>
    <m/>
    <m/>
    <x v="4"/>
    <x v="19"/>
    <m/>
    <m/>
    <n v="300"/>
  </r>
  <r>
    <x v="815"/>
    <n v="1500"/>
    <x v="17"/>
    <x v="2"/>
    <s v="Töötasud võlaõiguslike lepingute alusel"/>
    <s v="2"/>
    <x v="1"/>
    <m/>
    <m/>
    <s v="62"/>
    <s v="Laekvere Rahvamaja"/>
    <x v="88"/>
    <x v="2"/>
    <x v="87"/>
    <m/>
    <m/>
    <x v="3"/>
    <x v="19"/>
    <m/>
    <m/>
    <n v="1500"/>
  </r>
  <r>
    <x v="816"/>
    <n v="2340"/>
    <x v="17"/>
    <x v="2"/>
    <s v="Töötasud võlaõiguslike lepingute alusel"/>
    <s v="2"/>
    <x v="1"/>
    <m/>
    <m/>
    <s v="62"/>
    <s v="Laekvere Rahvamaja"/>
    <x v="88"/>
    <x v="2"/>
    <x v="87"/>
    <m/>
    <m/>
    <x v="3"/>
    <x v="19"/>
    <m/>
    <m/>
    <n v="2340"/>
  </r>
  <r>
    <x v="817"/>
    <n v="2400"/>
    <x v="25"/>
    <x v="3"/>
    <s v="Kommunikatsiooni-, kultuuri- ja vaba aja sisustamise kulud"/>
    <s v="2"/>
    <x v="1"/>
    <m/>
    <m/>
    <s v="71"/>
    <s v="Muuga Spordihoone"/>
    <x v="94"/>
    <x v="2"/>
    <x v="92"/>
    <m/>
    <m/>
    <x v="4"/>
    <x v="13"/>
    <m/>
    <m/>
    <n v="2400"/>
  </r>
  <r>
    <x v="818"/>
    <n v="476.29"/>
    <x v="8"/>
    <x v="3"/>
    <s v="Kinnistute, hoonete ja ruumide majandamiskulud"/>
    <s v="2"/>
    <x v="1"/>
    <m/>
    <m/>
    <s v="71"/>
    <s v="Muuga Spordihoone"/>
    <x v="94"/>
    <x v="2"/>
    <x v="92"/>
    <m/>
    <m/>
    <x v="4"/>
    <x v="13"/>
    <m/>
    <m/>
    <n v="476.29"/>
  </r>
  <r>
    <x v="819"/>
    <n v="800"/>
    <x v="29"/>
    <x v="3"/>
    <s v="Inventari majandamiskulud"/>
    <s v="2"/>
    <x v="1"/>
    <m/>
    <m/>
    <s v="71"/>
    <s v="Muuga Spordihoone"/>
    <x v="94"/>
    <x v="2"/>
    <x v="92"/>
    <m/>
    <m/>
    <x v="4"/>
    <x v="13"/>
    <m/>
    <m/>
    <n v="800"/>
  </r>
  <r>
    <x v="820"/>
    <n v="1200"/>
    <x v="8"/>
    <x v="3"/>
    <s v="Kinnistute, hoonete ja ruumide majandamiskulud"/>
    <s v="2"/>
    <x v="1"/>
    <m/>
    <m/>
    <s v="71"/>
    <s v="Muuga Spordihoone"/>
    <x v="94"/>
    <x v="2"/>
    <x v="92"/>
    <m/>
    <m/>
    <x v="4"/>
    <x v="13"/>
    <m/>
    <m/>
    <n v="1200"/>
  </r>
  <r>
    <x v="821"/>
    <n v="500"/>
    <x v="9"/>
    <x v="3"/>
    <s v="Administreerimiskulud"/>
    <s v="2"/>
    <x v="1"/>
    <m/>
    <m/>
    <s v="33"/>
    <s v="Pajusti Lasteaed"/>
    <x v="37"/>
    <x v="1"/>
    <x v="37"/>
    <m/>
    <m/>
    <x v="4"/>
    <x v="1"/>
    <m/>
    <m/>
    <n v="500"/>
  </r>
  <r>
    <x v="822"/>
    <n v="1200"/>
    <x v="10"/>
    <x v="3"/>
    <s v="Info- ja kommunikatsioonitehnoloogia kulud"/>
    <s v="2"/>
    <x v="1"/>
    <m/>
    <m/>
    <s v="33"/>
    <s v="Pajusti Lasteaed"/>
    <x v="37"/>
    <x v="1"/>
    <x v="37"/>
    <m/>
    <m/>
    <x v="4"/>
    <x v="1"/>
    <m/>
    <m/>
    <n v="1200"/>
  </r>
  <r>
    <x v="823"/>
    <n v="500"/>
    <x v="29"/>
    <x v="3"/>
    <s v="Inventari majandamiskulud"/>
    <s v="2"/>
    <x v="1"/>
    <m/>
    <m/>
    <s v="33"/>
    <s v="Pajusti Lasteaed"/>
    <x v="37"/>
    <x v="1"/>
    <x v="37"/>
    <m/>
    <m/>
    <x v="4"/>
    <x v="1"/>
    <m/>
    <m/>
    <n v="500"/>
  </r>
  <r>
    <x v="623"/>
    <n v="100"/>
    <x v="9"/>
    <x v="3"/>
    <s v="Administreerimiskulud"/>
    <s v="2"/>
    <x v="1"/>
    <m/>
    <m/>
    <s v="33"/>
    <s v="Pajusti Lasteaed"/>
    <x v="37"/>
    <x v="1"/>
    <x v="37"/>
    <m/>
    <m/>
    <x v="4"/>
    <x v="1"/>
    <m/>
    <m/>
    <n v="100"/>
  </r>
  <r>
    <x v="197"/>
    <n v="400"/>
    <x v="31"/>
    <x v="3"/>
    <s v="Koolituskulud (sh koolituslähetus)"/>
    <s v="2"/>
    <x v="1"/>
    <m/>
    <m/>
    <s v="33"/>
    <s v="Pajusti Lasteaed"/>
    <x v="37"/>
    <x v="1"/>
    <x v="37"/>
    <m/>
    <m/>
    <x v="4"/>
    <x v="1"/>
    <m/>
    <m/>
    <n v="400"/>
  </r>
  <r>
    <x v="622"/>
    <n v="600"/>
    <x v="8"/>
    <x v="3"/>
    <s v="Kinnistute, hoonete ja ruumide majandamiskulud"/>
    <s v="2"/>
    <x v="1"/>
    <m/>
    <m/>
    <s v="33"/>
    <s v="Pajusti Lasteaed"/>
    <x v="37"/>
    <x v="1"/>
    <x v="37"/>
    <m/>
    <m/>
    <x v="4"/>
    <x v="1"/>
    <m/>
    <m/>
    <n v="600"/>
  </r>
  <r>
    <x v="112"/>
    <n v="2500"/>
    <x v="8"/>
    <x v="3"/>
    <s v="Kinnistute, hoonete ja ruumide majandamiskulud"/>
    <s v="2"/>
    <x v="1"/>
    <m/>
    <m/>
    <s v="33"/>
    <s v="Pajusti Lasteaed"/>
    <x v="37"/>
    <x v="1"/>
    <x v="37"/>
    <m/>
    <m/>
    <x v="4"/>
    <x v="1"/>
    <m/>
    <m/>
    <n v="2500"/>
  </r>
  <r>
    <x v="617"/>
    <n v="60"/>
    <x v="41"/>
    <x v="3"/>
    <s v="Meditsiinikulud ja hügieenikulud"/>
    <s v="2"/>
    <x v="1"/>
    <m/>
    <m/>
    <s v="33"/>
    <s v="Pajusti Lasteaed"/>
    <x v="37"/>
    <x v="1"/>
    <x v="37"/>
    <m/>
    <m/>
    <x v="4"/>
    <x v="1"/>
    <m/>
    <m/>
    <n v="60"/>
  </r>
  <r>
    <x v="824"/>
    <n v="850"/>
    <x v="25"/>
    <x v="3"/>
    <s v="Kommunikatsiooni-, kultuuri- ja vaba aja sisustamise kulud"/>
    <s v="2"/>
    <x v="1"/>
    <m/>
    <m/>
    <s v="33"/>
    <s v="Pajusti Lasteaed"/>
    <x v="37"/>
    <x v="1"/>
    <x v="37"/>
    <m/>
    <m/>
    <x v="4"/>
    <x v="1"/>
    <m/>
    <m/>
    <n v="850"/>
  </r>
  <r>
    <x v="314"/>
    <n v="600"/>
    <x v="25"/>
    <x v="3"/>
    <s v="Kommunikatsiooni-, kultuuri- ja vaba aja sisustamise kulud"/>
    <s v="2"/>
    <x v="1"/>
    <m/>
    <m/>
    <s v="33"/>
    <s v="Pajusti Lasteaed"/>
    <x v="37"/>
    <x v="1"/>
    <x v="37"/>
    <m/>
    <m/>
    <x v="4"/>
    <x v="1"/>
    <m/>
    <m/>
    <n v="600"/>
  </r>
  <r>
    <x v="687"/>
    <n v="500"/>
    <x v="9"/>
    <x v="3"/>
    <s v="Administreerimiskulud"/>
    <s v="2"/>
    <x v="1"/>
    <m/>
    <m/>
    <s v="33"/>
    <s v="Pajusti Lasteaed"/>
    <x v="37"/>
    <x v="1"/>
    <x v="37"/>
    <m/>
    <m/>
    <x v="4"/>
    <x v="1"/>
    <m/>
    <m/>
    <n v="500"/>
  </r>
  <r>
    <x v="825"/>
    <n v="950"/>
    <x v="9"/>
    <x v="3"/>
    <s v="Administreerimiskulud"/>
    <s v="2"/>
    <x v="1"/>
    <m/>
    <m/>
    <s v="33"/>
    <s v="Pajusti Lasteaed"/>
    <x v="37"/>
    <x v="1"/>
    <x v="37"/>
    <m/>
    <m/>
    <x v="4"/>
    <x v="1"/>
    <m/>
    <m/>
    <n v="950"/>
  </r>
  <r>
    <x v="571"/>
    <n v="100"/>
    <x v="41"/>
    <x v="3"/>
    <s v="Meditsiinikulud ja hügieenikulud"/>
    <s v="2"/>
    <x v="1"/>
    <m/>
    <m/>
    <s v="33"/>
    <s v="Pajusti Lasteaed"/>
    <x v="37"/>
    <x v="1"/>
    <x v="37"/>
    <m/>
    <m/>
    <x v="4"/>
    <x v="1"/>
    <m/>
    <m/>
    <n v="100"/>
  </r>
  <r>
    <x v="826"/>
    <n v="4800"/>
    <x v="15"/>
    <x v="3"/>
    <s v="Õppevahendite ja koolituse kulud"/>
    <s v="2"/>
    <x v="1"/>
    <m/>
    <m/>
    <s v="33"/>
    <s v="Pajusti Lasteaed"/>
    <x v="37"/>
    <x v="1"/>
    <x v="37"/>
    <m/>
    <m/>
    <x v="4"/>
    <x v="1"/>
    <m/>
    <m/>
    <n v="4800"/>
  </r>
  <r>
    <x v="63"/>
    <n v="2500"/>
    <x v="16"/>
    <x v="3"/>
    <s v="Toiduained ja toitlustusteenused"/>
    <s v="2"/>
    <x v="1"/>
    <m/>
    <m/>
    <s v="43"/>
    <s v="Roela kool"/>
    <x v="95"/>
    <x v="1"/>
    <x v="93"/>
    <m/>
    <m/>
    <x v="4"/>
    <x v="38"/>
    <m/>
    <m/>
    <n v="2500"/>
  </r>
  <r>
    <x v="826"/>
    <n v="300"/>
    <x v="15"/>
    <x v="3"/>
    <s v="Õppevahendite ja koolituse kulud"/>
    <s v="2"/>
    <x v="1"/>
    <m/>
    <m/>
    <s v="43"/>
    <s v="Roela kool"/>
    <x v="95"/>
    <x v="1"/>
    <x v="93"/>
    <m/>
    <m/>
    <x v="4"/>
    <x v="38"/>
    <m/>
    <m/>
    <n v="300"/>
  </r>
  <r>
    <x v="827"/>
    <n v="354.72"/>
    <x v="25"/>
    <x v="3"/>
    <s v="Kommunikatsiooni-, kultuuri- ja vaba aja sisustamise kulud"/>
    <s v="2"/>
    <x v="1"/>
    <m/>
    <m/>
    <s v="43"/>
    <s v="Roela kool"/>
    <x v="95"/>
    <x v="1"/>
    <x v="93"/>
    <m/>
    <m/>
    <x v="4"/>
    <x v="38"/>
    <m/>
    <m/>
    <n v="354.72"/>
  </r>
  <r>
    <x v="571"/>
    <n v="300"/>
    <x v="41"/>
    <x v="3"/>
    <s v="Meditsiinikulud ja hügieenikulud"/>
    <s v="2"/>
    <x v="1"/>
    <m/>
    <m/>
    <s v="43"/>
    <s v="Roela kool"/>
    <x v="95"/>
    <x v="1"/>
    <x v="93"/>
    <m/>
    <m/>
    <x v="4"/>
    <x v="38"/>
    <m/>
    <m/>
    <n v="300"/>
  </r>
  <r>
    <x v="112"/>
    <n v="400"/>
    <x v="8"/>
    <x v="3"/>
    <s v="Kinnistute, hoonete ja ruumide majandamiskulud"/>
    <s v="2"/>
    <x v="1"/>
    <m/>
    <m/>
    <s v="43"/>
    <s v="Roela kool"/>
    <x v="95"/>
    <x v="1"/>
    <x v="93"/>
    <m/>
    <m/>
    <x v="4"/>
    <x v="38"/>
    <m/>
    <m/>
    <n v="400"/>
  </r>
  <r>
    <x v="405"/>
    <n v="600"/>
    <x v="9"/>
    <x v="3"/>
    <s v="Administreerimiskulud"/>
    <s v="2"/>
    <x v="1"/>
    <m/>
    <m/>
    <s v="43"/>
    <s v="Roela kool"/>
    <x v="95"/>
    <x v="1"/>
    <x v="93"/>
    <m/>
    <m/>
    <x v="4"/>
    <x v="38"/>
    <m/>
    <m/>
    <n v="600"/>
  </r>
  <r>
    <x v="828"/>
    <n v="100"/>
    <x v="9"/>
    <x v="3"/>
    <s v="Administreerimiskulud"/>
    <s v="2"/>
    <x v="1"/>
    <m/>
    <m/>
    <s v="43"/>
    <s v="Roela kool"/>
    <x v="95"/>
    <x v="1"/>
    <x v="93"/>
    <m/>
    <m/>
    <x v="4"/>
    <x v="38"/>
    <m/>
    <m/>
    <n v="100"/>
  </r>
  <r>
    <x v="829"/>
    <n v="1000"/>
    <x v="28"/>
    <x v="3"/>
    <s v="Mitmesugused majanduskulud"/>
    <s v="2"/>
    <x v="1"/>
    <m/>
    <m/>
    <s v="214"/>
    <s v="IT-spetsialist"/>
    <x v="96"/>
    <x v="6"/>
    <x v="94"/>
    <m/>
    <m/>
    <x v="4"/>
    <x v="39"/>
    <m/>
    <m/>
    <n v="1000"/>
  </r>
  <r>
    <x v="830"/>
    <n v="3000"/>
    <x v="10"/>
    <x v="3"/>
    <s v="Info- ja kommunikatsioonitehnoloogia kulud"/>
    <s v="2"/>
    <x v="1"/>
    <m/>
    <m/>
    <s v="214"/>
    <s v="IT-spetsialist"/>
    <x v="96"/>
    <x v="6"/>
    <x v="94"/>
    <m/>
    <m/>
    <x v="4"/>
    <x v="39"/>
    <m/>
    <m/>
    <n v="3000"/>
  </r>
  <r>
    <x v="831"/>
    <n v="200"/>
    <x v="8"/>
    <x v="3"/>
    <s v="Kinnistute, hoonete ja ruumide majandamiskulud"/>
    <s v="2"/>
    <x v="1"/>
    <m/>
    <m/>
    <s v="214"/>
    <s v="IT-spetsialist"/>
    <x v="96"/>
    <x v="6"/>
    <x v="94"/>
    <m/>
    <m/>
    <x v="4"/>
    <x v="39"/>
    <m/>
    <m/>
    <n v="200"/>
  </r>
  <r>
    <x v="832"/>
    <n v="3500"/>
    <x v="8"/>
    <x v="3"/>
    <s v="Kinnistute, hoonete ja ruumide majandamiskulud"/>
    <s v="2"/>
    <x v="1"/>
    <m/>
    <m/>
    <s v="214"/>
    <s v="IT-spetsialist"/>
    <x v="96"/>
    <x v="6"/>
    <x v="94"/>
    <m/>
    <m/>
    <x v="4"/>
    <x v="39"/>
    <m/>
    <m/>
    <n v="3500"/>
  </r>
  <r>
    <x v="833"/>
    <n v="4000"/>
    <x v="10"/>
    <x v="3"/>
    <s v="Info- ja kommunikatsioonitehnoloogia kulud"/>
    <s v="2"/>
    <x v="1"/>
    <m/>
    <m/>
    <s v="214"/>
    <s v="IT-spetsialist"/>
    <x v="96"/>
    <x v="6"/>
    <x v="94"/>
    <m/>
    <m/>
    <x v="4"/>
    <x v="39"/>
    <m/>
    <m/>
    <n v="4000"/>
  </r>
  <r>
    <x v="834"/>
    <n v="87398.355754857985"/>
    <x v="3"/>
    <x v="2"/>
    <s v="Töötajate töötasud"/>
    <s v="2"/>
    <x v="1"/>
    <m/>
    <m/>
    <s v="25"/>
    <s v="Haridusteenistus"/>
    <x v="103"/>
    <x v="1"/>
    <x v="100"/>
    <s v="12"/>
    <s v="Toetuseelarve"/>
    <x v="3"/>
    <x v="43"/>
    <m/>
    <m/>
    <n v="87398.355754857985"/>
  </r>
  <r>
    <x v="4"/>
    <n v="29540.644245142001"/>
    <x v="4"/>
    <x v="2"/>
    <s v="Tööjõukuludega kaasnevad maksud ja sotsiaalkindlustusmaksed"/>
    <s v="2"/>
    <x v="1"/>
    <m/>
    <m/>
    <s v="25"/>
    <s v="Haridusteenistus"/>
    <x v="103"/>
    <x v="1"/>
    <x v="100"/>
    <s v="12"/>
    <s v="Toetuseelarve"/>
    <x v="3"/>
    <x v="43"/>
    <m/>
    <m/>
    <n v="29540.644245142001"/>
  </r>
  <r>
    <x v="835"/>
    <n v="912"/>
    <x v="3"/>
    <x v="2"/>
    <s v="Töötajate töötasud"/>
    <s v="2"/>
    <x v="1"/>
    <m/>
    <m/>
    <s v="41"/>
    <s v="Muuga-Laekvere Kool"/>
    <x v="40"/>
    <x v="1"/>
    <x v="40"/>
    <m/>
    <m/>
    <x v="3"/>
    <x v="6"/>
    <m/>
    <m/>
    <n v="912"/>
  </r>
  <r>
    <x v="836"/>
    <n v="811.2"/>
    <x v="4"/>
    <x v="2"/>
    <s v="Tööjõukuludega kaasnevad maksud ja sotsiaalkindlustusmaksed"/>
    <s v="2"/>
    <x v="1"/>
    <m/>
    <m/>
    <s v="31"/>
    <s v="Vinni Lasteaed"/>
    <x v="8"/>
    <x v="1"/>
    <x v="8"/>
    <m/>
    <m/>
    <x v="3"/>
    <x v="1"/>
    <m/>
    <m/>
    <n v="811.2"/>
  </r>
  <r>
    <x v="837"/>
    <n v="2376"/>
    <x v="3"/>
    <x v="2"/>
    <s v="Töötajate töötasud"/>
    <s v="2"/>
    <x v="1"/>
    <m/>
    <m/>
    <s v="31"/>
    <s v="Vinni Lasteaed"/>
    <x v="8"/>
    <x v="1"/>
    <x v="8"/>
    <m/>
    <m/>
    <x v="3"/>
    <x v="1"/>
    <m/>
    <m/>
    <n v="2376"/>
  </r>
  <r>
    <x v="838"/>
    <n v="2604"/>
    <x v="3"/>
    <x v="2"/>
    <s v="Töötajate töötasud"/>
    <s v="2"/>
    <x v="1"/>
    <m/>
    <m/>
    <s v="33"/>
    <s v="Pajusti Lasteaed"/>
    <x v="37"/>
    <x v="1"/>
    <x v="37"/>
    <m/>
    <m/>
    <x v="3"/>
    <x v="1"/>
    <m/>
    <m/>
    <n v="2604"/>
  </r>
  <r>
    <x v="836"/>
    <n v="551.61599999999999"/>
    <x v="4"/>
    <x v="2"/>
    <s v="Tööjõukuludega kaasnevad maksud ja sotsiaalkindlustusmaksed"/>
    <s v="2"/>
    <x v="1"/>
    <m/>
    <m/>
    <s v="31"/>
    <s v="Vinni Lasteaed"/>
    <x v="8"/>
    <x v="1"/>
    <x v="8"/>
    <m/>
    <m/>
    <x v="3"/>
    <x v="1"/>
    <m/>
    <m/>
    <n v="551.61599999999999"/>
  </r>
  <r>
    <x v="839"/>
    <n v="419.3904"/>
    <x v="4"/>
    <x v="2"/>
    <s v="Tööjõukuludega kaasnevad maksud ja sotsiaalkindlustusmaksed"/>
    <s v="2"/>
    <x v="1"/>
    <m/>
    <m/>
    <s v="33"/>
    <s v="Pajusti Lasteaed"/>
    <x v="37"/>
    <x v="1"/>
    <x v="37"/>
    <m/>
    <m/>
    <x v="3"/>
    <x v="1"/>
    <m/>
    <m/>
    <n v="419.3904"/>
  </r>
  <r>
    <x v="840"/>
    <n v="419.3904"/>
    <x v="4"/>
    <x v="2"/>
    <s v="Tööjõukuludega kaasnevad maksud ja sotsiaalkindlustusmaksed"/>
    <s v="2"/>
    <x v="1"/>
    <m/>
    <m/>
    <s v="32"/>
    <s v="Kulina Lasteaed"/>
    <x v="36"/>
    <x v="1"/>
    <x v="36"/>
    <m/>
    <m/>
    <x v="3"/>
    <x v="1"/>
    <m/>
    <m/>
    <n v="419.3904"/>
  </r>
  <r>
    <x v="841"/>
    <n v="419.3904"/>
    <x v="4"/>
    <x v="2"/>
    <s v="Tööjõukuludega kaasnevad maksud ja sotsiaalkindlustusmaksed"/>
    <s v="2"/>
    <x v="1"/>
    <m/>
    <m/>
    <s v="44"/>
    <s v="Tudu kool"/>
    <x v="44"/>
    <x v="1"/>
    <x v="44"/>
    <m/>
    <m/>
    <x v="3"/>
    <x v="6"/>
    <m/>
    <m/>
    <n v="419.3904"/>
  </r>
  <r>
    <x v="842"/>
    <n v="1416"/>
    <x v="3"/>
    <x v="2"/>
    <s v="Töötajate töötasud"/>
    <s v="2"/>
    <x v="1"/>
    <m/>
    <m/>
    <s v="41"/>
    <s v="Muuga-Laekvere Kool"/>
    <x v="40"/>
    <x v="1"/>
    <x v="40"/>
    <m/>
    <m/>
    <x v="3"/>
    <x v="6"/>
    <m/>
    <m/>
    <n v="1416"/>
  </r>
  <r>
    <x v="843"/>
    <n v="3840"/>
    <x v="3"/>
    <x v="2"/>
    <s v="Töötajate töötasud"/>
    <s v="2"/>
    <x v="1"/>
    <m/>
    <m/>
    <s v="45"/>
    <s v="Vinni pajusti Gümnaasium"/>
    <x v="7"/>
    <x v="1"/>
    <x v="7"/>
    <m/>
    <m/>
    <x v="3"/>
    <x v="6"/>
    <m/>
    <m/>
    <n v="3840"/>
  </r>
  <r>
    <x v="844"/>
    <n v="2400"/>
    <x v="3"/>
    <x v="2"/>
    <s v="Töötajate töötasud"/>
    <s v="2"/>
    <x v="1"/>
    <m/>
    <m/>
    <s v="45"/>
    <s v="Vinni pajusti Gümnaasium"/>
    <x v="7"/>
    <x v="1"/>
    <x v="7"/>
    <m/>
    <m/>
    <x v="3"/>
    <x v="6"/>
    <m/>
    <m/>
    <n v="2400"/>
  </r>
  <r>
    <x v="845"/>
    <n v="1008"/>
    <x v="3"/>
    <x v="2"/>
    <s v="Töötajate töötasud"/>
    <s v="2"/>
    <x v="1"/>
    <m/>
    <m/>
    <s v="51"/>
    <s v="Laekvere Raamatukogu"/>
    <x v="11"/>
    <x v="2"/>
    <x v="11"/>
    <m/>
    <m/>
    <x v="3"/>
    <x v="5"/>
    <m/>
    <m/>
    <n v="1008"/>
  </r>
  <r>
    <x v="846"/>
    <n v="1368"/>
    <x v="3"/>
    <x v="2"/>
    <s v="Töötajate töötasud"/>
    <s v="2"/>
    <x v="1"/>
    <m/>
    <m/>
    <s v="51"/>
    <s v="Laekvere Raamatukogu"/>
    <x v="11"/>
    <x v="2"/>
    <x v="11"/>
    <m/>
    <m/>
    <x v="3"/>
    <x v="5"/>
    <m/>
    <m/>
    <n v="1368"/>
  </r>
  <r>
    <x v="847"/>
    <n v="308.25599999999997"/>
    <x v="4"/>
    <x v="2"/>
    <s v="Tööjõukuludega kaasnevad maksud ja sotsiaalkindlustusmaksed"/>
    <s v="2"/>
    <x v="1"/>
    <m/>
    <m/>
    <s v="41"/>
    <s v="Muuga-Laekvere Kool"/>
    <x v="40"/>
    <x v="1"/>
    <x v="40"/>
    <m/>
    <m/>
    <x v="3"/>
    <x v="6"/>
    <m/>
    <m/>
    <n v="308.25599999999997"/>
  </r>
  <r>
    <x v="28"/>
    <n v="7848"/>
    <x v="3"/>
    <x v="2"/>
    <s v="Töötajate töötasud"/>
    <s v="2"/>
    <x v="1"/>
    <m/>
    <m/>
    <s v="81"/>
    <s v="Tammiku Kodu"/>
    <x v="43"/>
    <x v="4"/>
    <x v="43"/>
    <s v=""/>
    <s v=""/>
    <x v="3"/>
    <x v="15"/>
    <m/>
    <m/>
    <n v="7848"/>
  </r>
  <r>
    <x v="848"/>
    <n v="803.08799999999997"/>
    <x v="4"/>
    <x v="2"/>
    <s v="Tööjõukuludega kaasnevad maksud ja sotsiaalkindlustusmaksed"/>
    <s v="2"/>
    <x v="1"/>
    <m/>
    <m/>
    <s v="31"/>
    <s v="Vinni Lasteaed"/>
    <x v="8"/>
    <x v="1"/>
    <x v="8"/>
    <m/>
    <m/>
    <x v="3"/>
    <x v="1"/>
    <m/>
    <m/>
    <n v="803.08799999999997"/>
  </r>
  <r>
    <x v="849"/>
    <n v="880.15200000000004"/>
    <x v="4"/>
    <x v="2"/>
    <s v="Tööjõukuludega kaasnevad maksud ja sotsiaalkindlustusmaksed"/>
    <s v="2"/>
    <x v="1"/>
    <m/>
    <m/>
    <s v="33"/>
    <s v="Pajusti Lasteaed"/>
    <x v="37"/>
    <x v="1"/>
    <x v="37"/>
    <m/>
    <m/>
    <x v="3"/>
    <x v="1"/>
    <m/>
    <m/>
    <n v="880.15200000000004"/>
  </r>
  <r>
    <x v="28"/>
    <n v="7920"/>
    <x v="3"/>
    <x v="2"/>
    <s v="Töötajate töötasud"/>
    <s v="2"/>
    <x v="1"/>
    <m/>
    <m/>
    <s v="81"/>
    <s v="Tammiku Kodu"/>
    <x v="43"/>
    <x v="4"/>
    <x v="43"/>
    <s v=""/>
    <s v=""/>
    <x v="3"/>
    <x v="15"/>
    <m/>
    <m/>
    <n v="7920"/>
  </r>
  <r>
    <x v="850"/>
    <n v="530"/>
    <x v="3"/>
    <x v="2"/>
    <s v="Töötajate töötasud"/>
    <s v="2"/>
    <x v="1"/>
    <m/>
    <m/>
    <s v="82"/>
    <s v="Ulvi Kodu"/>
    <x v="80"/>
    <x v="4"/>
    <x v="79"/>
    <s v=""/>
    <s v=""/>
    <x v="3"/>
    <x v="15"/>
    <m/>
    <m/>
    <n v="530"/>
  </r>
  <r>
    <x v="28"/>
    <n v="21360"/>
    <x v="3"/>
    <x v="2"/>
    <s v="Töötajate töötasud"/>
    <s v="2"/>
    <x v="1"/>
    <m/>
    <m/>
    <s v="82"/>
    <s v="Ulvi Kodu"/>
    <x v="80"/>
    <x v="4"/>
    <x v="79"/>
    <s v=""/>
    <s v=""/>
    <x v="3"/>
    <x v="15"/>
    <m/>
    <m/>
    <n v="21360"/>
  </r>
  <r>
    <x v="851"/>
    <n v="1780"/>
    <x v="17"/>
    <x v="2"/>
    <s v="Töötasud võlaõiguslike lepingute alusel"/>
    <s v="2"/>
    <x v="1"/>
    <m/>
    <m/>
    <s v="82"/>
    <s v="Ulvi Kodu"/>
    <x v="80"/>
    <x v="4"/>
    <x v="79"/>
    <m/>
    <m/>
    <x v="3"/>
    <x v="15"/>
    <m/>
    <m/>
    <n v="1780"/>
  </r>
  <r>
    <x v="852"/>
    <n v="478.608"/>
    <x v="4"/>
    <x v="2"/>
    <s v="Tööjõukuludega kaasnevad maksud ja sotsiaalkindlustusmaksed"/>
    <s v="2"/>
    <x v="1"/>
    <m/>
    <m/>
    <s v="41"/>
    <s v="Muuga-Laekvere Kool"/>
    <x v="40"/>
    <x v="1"/>
    <x v="40"/>
    <m/>
    <m/>
    <x v="3"/>
    <x v="6"/>
    <m/>
    <m/>
    <n v="478.608"/>
  </r>
  <r>
    <x v="853"/>
    <n v="1297.92"/>
    <x v="4"/>
    <x v="2"/>
    <s v="Tööjõukuludega kaasnevad maksud ja sotsiaalkindlustusmaksed"/>
    <s v="2"/>
    <x v="1"/>
    <m/>
    <m/>
    <s v="45"/>
    <s v="Vinni pajusti Gümnaasium"/>
    <x v="7"/>
    <x v="1"/>
    <x v="7"/>
    <m/>
    <m/>
    <x v="3"/>
    <x v="6"/>
    <m/>
    <m/>
    <n v="1297.92"/>
  </r>
  <r>
    <x v="854"/>
    <n v="811.2"/>
    <x v="4"/>
    <x v="2"/>
    <s v="Tööjõukuludega kaasnevad maksud ja sotsiaalkindlustusmaksed"/>
    <s v="2"/>
    <x v="1"/>
    <m/>
    <m/>
    <s v="45"/>
    <s v="Vinni pajusti Gümnaasium"/>
    <x v="7"/>
    <x v="1"/>
    <x v="7"/>
    <m/>
    <m/>
    <x v="3"/>
    <x v="6"/>
    <m/>
    <m/>
    <n v="811.2"/>
  </r>
  <r>
    <x v="855"/>
    <n v="340.70400000000001"/>
    <x v="4"/>
    <x v="2"/>
    <s v="Tööjõukuludega kaasnevad maksud ja sotsiaalkindlustusmaksed"/>
    <s v="2"/>
    <x v="1"/>
    <m/>
    <m/>
    <s v="51"/>
    <s v="Laekvere Raamatukogu"/>
    <x v="11"/>
    <x v="2"/>
    <x v="11"/>
    <m/>
    <m/>
    <x v="3"/>
    <x v="5"/>
    <m/>
    <m/>
    <n v="340.70400000000001"/>
  </r>
  <r>
    <x v="856"/>
    <n v="462.38400000000001"/>
    <x v="4"/>
    <x v="2"/>
    <s v="Tööjõukuludega kaasnevad maksud ja sotsiaalkindlustusmaksed"/>
    <s v="2"/>
    <x v="1"/>
    <m/>
    <m/>
    <s v="51"/>
    <s v="Laekvere Raamatukogu"/>
    <x v="11"/>
    <x v="2"/>
    <x v="11"/>
    <m/>
    <m/>
    <x v="3"/>
    <x v="5"/>
    <m/>
    <m/>
    <n v="462.38400000000001"/>
  </r>
  <r>
    <x v="857"/>
    <n v="150"/>
    <x v="31"/>
    <x v="3"/>
    <s v="Koolituskulud (sh koolituslähetus)"/>
    <s v="2"/>
    <x v="1"/>
    <m/>
    <m/>
    <s v="61"/>
    <s v="Kadila Seltsimaja"/>
    <x v="3"/>
    <x v="0"/>
    <x v="3"/>
    <m/>
    <m/>
    <x v="4"/>
    <x v="3"/>
    <m/>
    <m/>
    <n v="150"/>
  </r>
  <r>
    <x v="112"/>
    <n v="400"/>
    <x v="8"/>
    <x v="3"/>
    <s v="Kinnistute, hoonete ja ruumide majandamiskulud"/>
    <s v="2"/>
    <x v="1"/>
    <m/>
    <m/>
    <s v="61"/>
    <s v="Kadila Seltsimaja"/>
    <x v="3"/>
    <x v="0"/>
    <x v="3"/>
    <m/>
    <m/>
    <x v="4"/>
    <x v="3"/>
    <m/>
    <m/>
    <n v="400"/>
  </r>
  <r>
    <x v="638"/>
    <n v="250"/>
    <x v="29"/>
    <x v="3"/>
    <s v="Inventari majandamiskulud"/>
    <s v="2"/>
    <x v="1"/>
    <m/>
    <m/>
    <s v="61"/>
    <s v="Kadila Seltsimaja"/>
    <x v="3"/>
    <x v="0"/>
    <x v="3"/>
    <m/>
    <m/>
    <x v="4"/>
    <x v="3"/>
    <m/>
    <m/>
    <n v="250"/>
  </r>
  <r>
    <x v="858"/>
    <n v="200"/>
    <x v="25"/>
    <x v="3"/>
    <s v="Kommunikatsiooni-, kultuuri- ja vaba aja sisustamise kulud"/>
    <s v="2"/>
    <x v="1"/>
    <m/>
    <m/>
    <s v="61"/>
    <s v="Kadila Seltsimaja"/>
    <x v="3"/>
    <x v="0"/>
    <x v="3"/>
    <m/>
    <m/>
    <x v="4"/>
    <x v="3"/>
    <m/>
    <m/>
    <n v="200"/>
  </r>
  <r>
    <x v="859"/>
    <n v="101.4"/>
    <x v="4"/>
    <x v="2"/>
    <s v="Tööjõukuludega kaasnevad maksud ja sotsiaalkindlustusmaksed"/>
    <s v="2"/>
    <x v="1"/>
    <m/>
    <m/>
    <s v="71"/>
    <s v="Muuga Spordihoone"/>
    <x v="94"/>
    <x v="2"/>
    <x v="92"/>
    <m/>
    <m/>
    <x v="3"/>
    <x v="13"/>
    <m/>
    <m/>
    <n v="101.4"/>
  </r>
  <r>
    <x v="860"/>
    <n v="300"/>
    <x v="17"/>
    <x v="2"/>
    <s v="Töötasud võlaõiguslike lepingute alusel"/>
    <s v="2"/>
    <x v="1"/>
    <m/>
    <m/>
    <s v="71"/>
    <s v="Muuga Spordihoone"/>
    <x v="94"/>
    <x v="2"/>
    <x v="92"/>
    <m/>
    <m/>
    <x v="3"/>
    <x v="13"/>
    <m/>
    <m/>
    <n v="300"/>
  </r>
  <r>
    <x v="861"/>
    <n v="100"/>
    <x v="40"/>
    <x v="3"/>
    <s v="Lähetuskulud (v.a koolituslähetus)"/>
    <s v="2"/>
    <x v="1"/>
    <m/>
    <m/>
    <s v="216"/>
    <s v="Teede- ja ühistranspordinõunik"/>
    <x v="87"/>
    <x v="1"/>
    <x v="86"/>
    <m/>
    <m/>
    <x v="4"/>
    <x v="32"/>
    <m/>
    <m/>
    <n v="100"/>
  </r>
  <r>
    <x v="862"/>
    <n v="1500"/>
    <x v="30"/>
    <x v="3"/>
    <s v="Sõidukite ülalpidamise kulud"/>
    <s v="2"/>
    <x v="1"/>
    <m/>
    <m/>
    <s v="216"/>
    <s v="Teede- ja ühistranspordinõunik"/>
    <x v="87"/>
    <x v="1"/>
    <x v="86"/>
    <m/>
    <m/>
    <x v="4"/>
    <x v="32"/>
    <m/>
    <m/>
    <n v="1500"/>
  </r>
  <r>
    <x v="642"/>
    <n v="2000"/>
    <x v="28"/>
    <x v="3"/>
    <s v="Mitmesugused majanduskulud"/>
    <s v="2"/>
    <x v="1"/>
    <m/>
    <m/>
    <s v="216"/>
    <s v="Teede- ja ühistranspordinõunik"/>
    <x v="87"/>
    <x v="1"/>
    <x v="86"/>
    <m/>
    <m/>
    <x v="4"/>
    <x v="32"/>
    <m/>
    <m/>
    <n v="2000"/>
  </r>
  <r>
    <x v="863"/>
    <n v="20830"/>
    <x v="44"/>
    <x v="5"/>
    <s v="Õppetoetused"/>
    <s v="2"/>
    <x v="1"/>
    <m/>
    <m/>
    <s v="216"/>
    <s v="Teede- ja ühistranspordinõunik"/>
    <x v="87"/>
    <x v="1"/>
    <x v="86"/>
    <m/>
    <m/>
    <x v="7"/>
    <x v="32"/>
    <m/>
    <m/>
    <n v="20830"/>
  </r>
  <r>
    <x v="536"/>
    <n v="100"/>
    <x v="9"/>
    <x v="3"/>
    <s v="Administreerimiskulud"/>
    <s v="2"/>
    <x v="1"/>
    <m/>
    <m/>
    <s v="212"/>
    <s v="kultuuri-ja avalike suhete nõunik"/>
    <x v="92"/>
    <x v="2"/>
    <x v="91"/>
    <m/>
    <m/>
    <x v="4"/>
    <x v="36"/>
    <m/>
    <m/>
    <n v="100"/>
  </r>
  <r>
    <x v="864"/>
    <n v="300"/>
    <x v="29"/>
    <x v="3"/>
    <s v="Inventari majandamiskulud"/>
    <s v="2"/>
    <x v="1"/>
    <m/>
    <m/>
    <s v="212"/>
    <s v="kultuuri-ja avalike suhete nõunik"/>
    <x v="92"/>
    <x v="2"/>
    <x v="91"/>
    <m/>
    <m/>
    <x v="4"/>
    <x v="36"/>
    <m/>
    <m/>
    <n v="300"/>
  </r>
  <r>
    <x v="857"/>
    <n v="400"/>
    <x v="31"/>
    <x v="3"/>
    <s v="Koolituskulud (sh koolituslähetus)"/>
    <s v="2"/>
    <x v="1"/>
    <m/>
    <m/>
    <s v="212"/>
    <s v="kultuuri-ja avalike suhete nõunik"/>
    <x v="92"/>
    <x v="2"/>
    <x v="91"/>
    <m/>
    <m/>
    <x v="4"/>
    <x v="36"/>
    <m/>
    <m/>
    <n v="400"/>
  </r>
  <r>
    <x v="865"/>
    <n v="900"/>
    <x v="8"/>
    <x v="3"/>
    <s v="Kinnistute, hoonete ja ruumide majandamiskulud"/>
    <s v="2"/>
    <x v="1"/>
    <m/>
    <m/>
    <s v="213"/>
    <s v="Spordinõunik"/>
    <x v="104"/>
    <x v="2"/>
    <x v="101"/>
    <m/>
    <m/>
    <x v="4"/>
    <x v="13"/>
    <m/>
    <m/>
    <n v="900"/>
  </r>
  <r>
    <x v="866"/>
    <n v="1000"/>
    <x v="2"/>
    <x v="1"/>
    <s v="Antud sihtfinantseerimine tegevuskuludeks"/>
    <s v="2"/>
    <x v="1"/>
    <m/>
    <m/>
    <s v="213"/>
    <s v="Spordinõunik"/>
    <x v="105"/>
    <x v="2"/>
    <x v="69"/>
    <m/>
    <m/>
    <x v="2"/>
    <x v="13"/>
    <m/>
    <m/>
    <n v="1000"/>
  </r>
  <r>
    <x v="867"/>
    <n v="700"/>
    <x v="25"/>
    <x v="3"/>
    <s v="Kommunikatsiooni-, kultuuri- ja vaba aja sisustamise kulud"/>
    <s v="2"/>
    <x v="1"/>
    <m/>
    <m/>
    <s v="213"/>
    <s v="Spordinõunik"/>
    <x v="105"/>
    <x v="2"/>
    <x v="69"/>
    <m/>
    <m/>
    <x v="4"/>
    <x v="13"/>
    <m/>
    <m/>
    <n v="700"/>
  </r>
  <r>
    <x v="868"/>
    <n v="600"/>
    <x v="29"/>
    <x v="3"/>
    <s v="Inventari majandamiskulud"/>
    <s v="2"/>
    <x v="1"/>
    <m/>
    <m/>
    <s v="213"/>
    <s v="Spordinõunik"/>
    <x v="50"/>
    <x v="2"/>
    <x v="50"/>
    <m/>
    <m/>
    <x v="4"/>
    <x v="13"/>
    <m/>
    <m/>
    <n v="600"/>
  </r>
  <r>
    <x v="869"/>
    <n v="300"/>
    <x v="11"/>
    <x v="3"/>
    <s v="Kütus"/>
    <s v="2"/>
    <x v="1"/>
    <m/>
    <m/>
    <s v="213"/>
    <s v="Spordinõunik"/>
    <x v="50"/>
    <x v="2"/>
    <x v="50"/>
    <m/>
    <m/>
    <x v="4"/>
    <x v="13"/>
    <m/>
    <m/>
    <n v="300"/>
  </r>
  <r>
    <x v="870"/>
    <n v="100"/>
    <x v="28"/>
    <x v="3"/>
    <s v="Mitmesugused majanduskulud"/>
    <s v="2"/>
    <x v="1"/>
    <m/>
    <m/>
    <s v="213"/>
    <s v="Spordinõunik"/>
    <x v="50"/>
    <x v="2"/>
    <x v="50"/>
    <m/>
    <m/>
    <x v="4"/>
    <x v="13"/>
    <m/>
    <m/>
    <n v="100"/>
  </r>
  <r>
    <x v="871"/>
    <n v="4966"/>
    <x v="8"/>
    <x v="3"/>
    <s v="Kinnistute, hoonete ja ruumide majandamiskulud"/>
    <s v="2"/>
    <x v="1"/>
    <m/>
    <m/>
    <s v="213"/>
    <s v="Spordinõunik"/>
    <x v="104"/>
    <x v="2"/>
    <x v="101"/>
    <m/>
    <m/>
    <x v="4"/>
    <x v="13"/>
    <m/>
    <m/>
    <n v="4966"/>
  </r>
  <r>
    <x v="872"/>
    <n v="600"/>
    <x v="2"/>
    <x v="1"/>
    <s v="Antud sihtfinantseerimine tegevuskuludeks"/>
    <s v="2"/>
    <x v="1"/>
    <m/>
    <m/>
    <s v="213"/>
    <s v="Spordinõunik"/>
    <x v="105"/>
    <x v="2"/>
    <x v="69"/>
    <m/>
    <m/>
    <x v="2"/>
    <x v="13"/>
    <m/>
    <m/>
    <n v="600"/>
  </r>
  <r>
    <x v="873"/>
    <n v="6300"/>
    <x v="25"/>
    <x v="3"/>
    <s v="Kommunikatsiooni-, kultuuri- ja vaba aja sisustamise kulud"/>
    <s v="2"/>
    <x v="1"/>
    <m/>
    <m/>
    <s v="213"/>
    <s v="Spordinõunik"/>
    <x v="105"/>
    <x v="2"/>
    <x v="69"/>
    <m/>
    <m/>
    <x v="4"/>
    <x v="13"/>
    <m/>
    <m/>
    <n v="6300"/>
  </r>
  <r>
    <x v="874"/>
    <n v="289"/>
    <x v="29"/>
    <x v="3"/>
    <s v="Inventari majandamiskulud"/>
    <s v="2"/>
    <x v="1"/>
    <m/>
    <m/>
    <s v="57"/>
    <s v="Vinni Raamatukogu"/>
    <x v="5"/>
    <x v="2"/>
    <x v="5"/>
    <m/>
    <m/>
    <x v="4"/>
    <x v="5"/>
    <m/>
    <m/>
    <n v="289"/>
  </r>
  <r>
    <x v="875"/>
    <n v="600"/>
    <x v="10"/>
    <x v="3"/>
    <s v="Info- ja kommunikatsioonitehnoloogia kulud"/>
    <s v="2"/>
    <x v="1"/>
    <m/>
    <m/>
    <s v="57"/>
    <s v="Vinni Raamatukogu"/>
    <x v="5"/>
    <x v="2"/>
    <x v="5"/>
    <m/>
    <m/>
    <x v="4"/>
    <x v="5"/>
    <m/>
    <m/>
    <n v="600"/>
  </r>
  <r>
    <x v="876"/>
    <n v="1400"/>
    <x v="3"/>
    <x v="2"/>
    <s v="Töötajate töötasud"/>
    <s v="2"/>
    <x v="1"/>
    <m/>
    <m/>
    <s v="33"/>
    <s v="Pajusti Lasteaed"/>
    <x v="37"/>
    <x v="1"/>
    <x v="37"/>
    <m/>
    <m/>
    <x v="3"/>
    <x v="1"/>
    <m/>
    <m/>
    <n v="1400"/>
  </r>
  <r>
    <x v="877"/>
    <n v="473.2"/>
    <x v="4"/>
    <x v="2"/>
    <s v="Tööjõukuludega kaasnevad maksud ja sotsiaalkindlustusmaksed"/>
    <s v="2"/>
    <x v="1"/>
    <m/>
    <m/>
    <s v="33"/>
    <s v="Pajusti Lasteaed"/>
    <x v="37"/>
    <x v="1"/>
    <x v="37"/>
    <m/>
    <m/>
    <x v="3"/>
    <x v="1"/>
    <m/>
    <m/>
    <n v="473.2"/>
  </r>
  <r>
    <x v="878"/>
    <n v="1000"/>
    <x v="9"/>
    <x v="3"/>
    <s v="Administreerimiskulud"/>
    <s v="2"/>
    <x v="1"/>
    <m/>
    <m/>
    <s v="53"/>
    <s v="Roela Raamatukogu"/>
    <x v="41"/>
    <x v="2"/>
    <x v="41"/>
    <m/>
    <m/>
    <x v="4"/>
    <x v="5"/>
    <m/>
    <m/>
    <n v="1000"/>
  </r>
  <r>
    <x v="879"/>
    <n v="200"/>
    <x v="8"/>
    <x v="3"/>
    <s v="Kinnistute, hoonete ja ruumide majandamiskulud"/>
    <s v="2"/>
    <x v="1"/>
    <m/>
    <m/>
    <s v="54"/>
    <s v="Tudu Raamatukogu"/>
    <x v="27"/>
    <x v="2"/>
    <x v="27"/>
    <m/>
    <m/>
    <x v="4"/>
    <x v="5"/>
    <m/>
    <m/>
    <n v="200"/>
  </r>
  <r>
    <x v="880"/>
    <n v="600"/>
    <x v="25"/>
    <x v="3"/>
    <s v="Kommunikatsiooni-, kultuuri- ja vaba aja sisustamise kulud"/>
    <s v="2"/>
    <x v="1"/>
    <m/>
    <m/>
    <s v="55"/>
    <s v="Ulvi Raamatukogu"/>
    <x v="28"/>
    <x v="2"/>
    <x v="28"/>
    <m/>
    <m/>
    <x v="4"/>
    <x v="5"/>
    <m/>
    <m/>
    <n v="600"/>
  </r>
  <r>
    <x v="881"/>
    <n v="500"/>
    <x v="28"/>
    <x v="3"/>
    <s v="Mitmesugused majanduskulud"/>
    <s v="2"/>
    <x v="1"/>
    <m/>
    <m/>
    <s v="51"/>
    <s v="Laekvere Raamatukogu"/>
    <x v="11"/>
    <x v="2"/>
    <x v="11"/>
    <m/>
    <m/>
    <x v="4"/>
    <x v="5"/>
    <m/>
    <m/>
    <n v="500"/>
  </r>
  <r>
    <x v="882"/>
    <n v="1000"/>
    <x v="29"/>
    <x v="3"/>
    <s v="Inventari majandamiskulud"/>
    <s v="2"/>
    <x v="1"/>
    <m/>
    <m/>
    <s v="34"/>
    <s v="Laekvere Lasteaed"/>
    <x v="1"/>
    <x v="1"/>
    <x v="1"/>
    <m/>
    <m/>
    <x v="4"/>
    <x v="1"/>
    <m/>
    <m/>
    <n v="1000"/>
  </r>
  <r>
    <x v="112"/>
    <n v="300"/>
    <x v="8"/>
    <x v="3"/>
    <s v="Kinnistute, hoonete ja ruumide majandamiskulud"/>
    <s v="2"/>
    <x v="1"/>
    <m/>
    <m/>
    <s v="43"/>
    <s v="Roela kool"/>
    <x v="56"/>
    <x v="1"/>
    <x v="56"/>
    <m/>
    <m/>
    <x v="4"/>
    <x v="1"/>
    <m/>
    <m/>
    <n v="300"/>
  </r>
  <r>
    <x v="883"/>
    <n v="200"/>
    <x v="25"/>
    <x v="3"/>
    <s v="Kommunikatsiooni-, kultuuri- ja vaba aja sisustamise kulud"/>
    <s v="2"/>
    <x v="1"/>
    <m/>
    <m/>
    <s v="43"/>
    <s v="Roela kool"/>
    <x v="56"/>
    <x v="1"/>
    <x v="56"/>
    <m/>
    <m/>
    <x v="4"/>
    <x v="1"/>
    <m/>
    <m/>
    <n v="200"/>
  </r>
  <r>
    <x v="884"/>
    <n v="3500"/>
    <x v="25"/>
    <x v="3"/>
    <s v="Kommunikatsiooni-, kultuuri- ja vaba aja sisustamise kulud"/>
    <s v="2"/>
    <x v="1"/>
    <m/>
    <m/>
    <s v="43"/>
    <s v="Roela kool"/>
    <x v="34"/>
    <x v="1"/>
    <x v="34"/>
    <m/>
    <m/>
    <x v="4"/>
    <x v="6"/>
    <m/>
    <m/>
    <n v="3500"/>
  </r>
  <r>
    <x v="885"/>
    <n v="500"/>
    <x v="9"/>
    <x v="3"/>
    <s v="Administreerimiskulud"/>
    <s v="2"/>
    <x v="1"/>
    <m/>
    <m/>
    <s v="23"/>
    <s v="Finantsteenistus"/>
    <x v="17"/>
    <x v="5"/>
    <x v="17"/>
    <m/>
    <m/>
    <x v="4"/>
    <x v="12"/>
    <m/>
    <m/>
    <n v="500"/>
  </r>
  <r>
    <x v="886"/>
    <n v="1815"/>
    <x v="9"/>
    <x v="3"/>
    <s v="Administreerimiskulud"/>
    <s v="2"/>
    <x v="1"/>
    <m/>
    <m/>
    <s v="2"/>
    <s v="Valla- ja linnavalitsus"/>
    <x v="17"/>
    <x v="5"/>
    <x v="17"/>
    <m/>
    <m/>
    <x v="4"/>
    <x v="12"/>
    <m/>
    <m/>
    <n v="1815"/>
  </r>
  <r>
    <x v="887"/>
    <n v="1250"/>
    <x v="8"/>
    <x v="3"/>
    <s v="Kinnistute, hoonete ja ruumide majandamiskulud"/>
    <s v="2"/>
    <x v="1"/>
    <m/>
    <m/>
    <s v="2"/>
    <s v="Valla- ja linnavalitsus"/>
    <x v="17"/>
    <x v="5"/>
    <x v="17"/>
    <m/>
    <m/>
    <x v="4"/>
    <x v="12"/>
    <m/>
    <m/>
    <n v="1250"/>
  </r>
  <r>
    <x v="888"/>
    <n v="10500"/>
    <x v="8"/>
    <x v="3"/>
    <s v="Kinnistute, hoonete ja ruumide majandamiskulud"/>
    <s v="2"/>
    <x v="1"/>
    <m/>
    <m/>
    <s v="2"/>
    <s v="Valla- ja linnavalitsus"/>
    <x v="17"/>
    <x v="5"/>
    <x v="17"/>
    <m/>
    <m/>
    <x v="4"/>
    <x v="12"/>
    <m/>
    <m/>
    <n v="10500"/>
  </r>
  <r>
    <x v="889"/>
    <n v="7000"/>
    <x v="8"/>
    <x v="3"/>
    <s v="Kinnistute, hoonete ja ruumide majandamiskulud"/>
    <s v="2"/>
    <x v="1"/>
    <m/>
    <m/>
    <s v="2"/>
    <s v="Valla- ja linnavalitsus"/>
    <x v="17"/>
    <x v="5"/>
    <x v="17"/>
    <m/>
    <m/>
    <x v="4"/>
    <x v="12"/>
    <m/>
    <m/>
    <n v="7000"/>
  </r>
  <r>
    <x v="890"/>
    <n v="150"/>
    <x v="8"/>
    <x v="3"/>
    <s v="Kinnistute, hoonete ja ruumide majandamiskulud"/>
    <s v="2"/>
    <x v="1"/>
    <m/>
    <m/>
    <s v="2"/>
    <s v="Valla- ja linnavalitsus"/>
    <x v="17"/>
    <x v="5"/>
    <x v="17"/>
    <m/>
    <m/>
    <x v="4"/>
    <x v="12"/>
    <m/>
    <m/>
    <n v="150"/>
  </r>
  <r>
    <x v="891"/>
    <n v="14256"/>
    <x v="3"/>
    <x v="2"/>
    <s v="Töötajate töötasud"/>
    <s v="2"/>
    <x v="1"/>
    <m/>
    <m/>
    <s v="31"/>
    <s v="Vinni Lasteaed"/>
    <x v="8"/>
    <x v="1"/>
    <x v="8"/>
    <m/>
    <m/>
    <x v="3"/>
    <x v="1"/>
    <m/>
    <m/>
    <n v="14256"/>
  </r>
  <r>
    <x v="892"/>
    <n v="4818.5280000000002"/>
    <x v="4"/>
    <x v="2"/>
    <s v="Tööjõukuludega kaasnevad maksud ja sotsiaalkindlustusmaksed"/>
    <s v="2"/>
    <x v="1"/>
    <m/>
    <m/>
    <s v="31"/>
    <s v="Vinni Lasteaed"/>
    <x v="8"/>
    <x v="1"/>
    <x v="8"/>
    <m/>
    <m/>
    <x v="3"/>
    <x v="1"/>
    <m/>
    <m/>
    <n v="4818.5280000000002"/>
  </r>
  <r>
    <x v="893"/>
    <n v="7128"/>
    <x v="3"/>
    <x v="2"/>
    <s v="Töötajate töötasud"/>
    <s v="2"/>
    <x v="1"/>
    <m/>
    <m/>
    <s v="33"/>
    <s v="Pajusti Lasteaed"/>
    <x v="37"/>
    <x v="1"/>
    <x v="37"/>
    <m/>
    <m/>
    <x v="3"/>
    <x v="1"/>
    <m/>
    <m/>
    <n v="7128"/>
  </r>
  <r>
    <x v="892"/>
    <n v="2409.2640000000001"/>
    <x v="4"/>
    <x v="2"/>
    <s v="Tööjõukuludega kaasnevad maksud ja sotsiaalkindlustusmaksed"/>
    <s v="2"/>
    <x v="1"/>
    <m/>
    <m/>
    <s v="33"/>
    <s v="Pajusti Lasteaed"/>
    <x v="37"/>
    <x v="1"/>
    <x v="37"/>
    <m/>
    <m/>
    <x v="3"/>
    <x v="1"/>
    <m/>
    <m/>
    <n v="2409.2640000000001"/>
  </r>
  <r>
    <x v="894"/>
    <n v="2380.8000000000002"/>
    <x v="3"/>
    <x v="2"/>
    <s v="Töötajate töötasud"/>
    <s v="2"/>
    <x v="1"/>
    <m/>
    <m/>
    <s v="32"/>
    <s v="Kulina Lasteaed"/>
    <x v="36"/>
    <x v="1"/>
    <x v="36"/>
    <m/>
    <m/>
    <x v="3"/>
    <x v="1"/>
    <m/>
    <m/>
    <n v="2380.8000000000002"/>
  </r>
  <r>
    <x v="895"/>
    <n v="804.71040000000016"/>
    <x v="4"/>
    <x v="2"/>
    <s v="Tööjõukuludega kaasnevad maksud ja sotsiaalkindlustusmaksed"/>
    <s v="2"/>
    <x v="1"/>
    <m/>
    <m/>
    <s v="32"/>
    <s v="Kulina Lasteaed"/>
    <x v="36"/>
    <x v="1"/>
    <x v="36"/>
    <m/>
    <m/>
    <x v="3"/>
    <x v="1"/>
    <m/>
    <m/>
    <n v="804.71040000000016"/>
  </r>
  <r>
    <x v="896"/>
    <n v="2976"/>
    <x v="3"/>
    <x v="2"/>
    <s v="Töötajate töötasud"/>
    <s v="2"/>
    <x v="1"/>
    <m/>
    <m/>
    <s v="32"/>
    <s v="Kulina Lasteaed"/>
    <x v="36"/>
    <x v="1"/>
    <x v="36"/>
    <m/>
    <m/>
    <x v="3"/>
    <x v="1"/>
    <m/>
    <m/>
    <n v="2976"/>
  </r>
  <r>
    <x v="892"/>
    <n v="1005.888"/>
    <x v="4"/>
    <x v="2"/>
    <s v="Tööjõukuludega kaasnevad maksud ja sotsiaalkindlustusmaksed"/>
    <s v="2"/>
    <x v="1"/>
    <m/>
    <m/>
    <s v="32"/>
    <s v="Kulina Lasteaed"/>
    <x v="36"/>
    <x v="1"/>
    <x v="36"/>
    <m/>
    <m/>
    <x v="3"/>
    <x v="1"/>
    <m/>
    <m/>
    <n v="1005.888"/>
  </r>
  <r>
    <x v="897"/>
    <n v="4056"/>
    <x v="3"/>
    <x v="2"/>
    <s v="Töötajate töötasud"/>
    <s v="2"/>
    <x v="1"/>
    <m/>
    <m/>
    <s v="44"/>
    <s v="Tudu kool"/>
    <x v="55"/>
    <x v="1"/>
    <x v="55"/>
    <m/>
    <m/>
    <x v="3"/>
    <x v="1"/>
    <m/>
    <m/>
    <n v="4056"/>
  </r>
  <r>
    <x v="892"/>
    <n v="1370.9280000000001"/>
    <x v="4"/>
    <x v="2"/>
    <s v="Tööjõukuludega kaasnevad maksud ja sotsiaalkindlustusmaksed"/>
    <s v="2"/>
    <x v="1"/>
    <m/>
    <m/>
    <s v="44"/>
    <s v="Tudu kool"/>
    <x v="55"/>
    <x v="1"/>
    <x v="55"/>
    <m/>
    <m/>
    <x v="3"/>
    <x v="1"/>
    <m/>
    <m/>
    <n v="1370.9280000000001"/>
  </r>
  <r>
    <x v="893"/>
    <n v="7128"/>
    <x v="3"/>
    <x v="2"/>
    <s v="Töötajate töötasud"/>
    <s v="2"/>
    <x v="1"/>
    <m/>
    <m/>
    <s v="34"/>
    <s v="Laekvere Lasteaed"/>
    <x v="1"/>
    <x v="1"/>
    <x v="1"/>
    <m/>
    <m/>
    <x v="3"/>
    <x v="1"/>
    <m/>
    <m/>
    <n v="7128"/>
  </r>
  <r>
    <x v="892"/>
    <n v="2409.2640000000001"/>
    <x v="4"/>
    <x v="2"/>
    <s v="Tööjõukuludega kaasnevad maksud ja sotsiaalkindlustusmaksed"/>
    <s v="2"/>
    <x v="1"/>
    <m/>
    <m/>
    <s v="34"/>
    <s v="Laekvere Lasteaed"/>
    <x v="1"/>
    <x v="1"/>
    <x v="1"/>
    <m/>
    <m/>
    <x v="3"/>
    <x v="1"/>
    <m/>
    <m/>
    <n v="2409.2640000000001"/>
  </r>
  <r>
    <x v="897"/>
    <n v="6480"/>
    <x v="3"/>
    <x v="2"/>
    <s v="Töötajate töötasud"/>
    <s v="2"/>
    <x v="1"/>
    <m/>
    <m/>
    <s v="35"/>
    <s v="Ulvi Lasteaed"/>
    <x v="69"/>
    <x v="1"/>
    <x v="68"/>
    <m/>
    <m/>
    <x v="3"/>
    <x v="1"/>
    <m/>
    <m/>
    <n v="6480"/>
  </r>
  <r>
    <x v="892"/>
    <n v="2190.2400000000002"/>
    <x v="4"/>
    <x v="2"/>
    <s v="Tööjõukuludega kaasnevad maksud ja sotsiaalkindlustusmaksed"/>
    <s v="2"/>
    <x v="1"/>
    <m/>
    <m/>
    <s v="35"/>
    <s v="Ulvi Lasteaed"/>
    <x v="69"/>
    <x v="1"/>
    <x v="68"/>
    <m/>
    <m/>
    <x v="3"/>
    <x v="1"/>
    <m/>
    <m/>
    <n v="2190.2400000000002"/>
  </r>
  <r>
    <x v="897"/>
    <n v="4584"/>
    <x v="3"/>
    <x v="2"/>
    <s v="Töötajate töötasud"/>
    <s v="2"/>
    <x v="1"/>
    <m/>
    <m/>
    <s v="43"/>
    <s v="Roela kool"/>
    <x v="56"/>
    <x v="1"/>
    <x v="56"/>
    <m/>
    <m/>
    <x v="3"/>
    <x v="1"/>
    <m/>
    <m/>
    <n v="4584"/>
  </r>
  <r>
    <x v="892"/>
    <n v="1549.3920000000001"/>
    <x v="4"/>
    <x v="2"/>
    <s v="Tööjõukuludega kaasnevad maksud ja sotsiaalkindlustusmaksed"/>
    <s v="2"/>
    <x v="1"/>
    <m/>
    <m/>
    <s v="43"/>
    <s v="Roela kool"/>
    <x v="56"/>
    <x v="1"/>
    <x v="56"/>
    <m/>
    <m/>
    <x v="3"/>
    <x v="1"/>
    <m/>
    <m/>
    <n v="1549.3920000000001"/>
  </r>
  <r>
    <x v="898"/>
    <n v="1200"/>
    <x v="3"/>
    <x v="2"/>
    <s v="Töötajate töötasud"/>
    <s v="2"/>
    <x v="1"/>
    <m/>
    <m/>
    <s v="27"/>
    <s v="Laekvere teeninduspiirkond"/>
    <x v="38"/>
    <x v="0"/>
    <x v="38"/>
    <m/>
    <m/>
    <x v="3"/>
    <x v="3"/>
    <m/>
    <m/>
    <n v="1200"/>
  </r>
  <r>
    <x v="899"/>
    <n v="1200"/>
    <x v="3"/>
    <x v="2"/>
    <s v="Töötajate töötasud"/>
    <s v="2"/>
    <x v="1"/>
    <m/>
    <m/>
    <s v="27"/>
    <s v="Laekvere teeninduspiirkond"/>
    <x v="38"/>
    <x v="0"/>
    <x v="38"/>
    <m/>
    <m/>
    <x v="3"/>
    <x v="3"/>
    <m/>
    <m/>
    <n v="1200"/>
  </r>
  <r>
    <x v="900"/>
    <n v="811.2"/>
    <x v="4"/>
    <x v="2"/>
    <s v="Tööjõukuludega kaasnevad maksud ja sotsiaalkindlustusmaksed"/>
    <s v="2"/>
    <x v="1"/>
    <m/>
    <m/>
    <s v="27"/>
    <s v="Laekvere teeninduspiirkond"/>
    <x v="38"/>
    <x v="0"/>
    <x v="38"/>
    <m/>
    <m/>
    <x v="3"/>
    <x v="3"/>
    <m/>
    <m/>
    <n v="811.2"/>
  </r>
  <r>
    <x v="901"/>
    <n v="1012.8"/>
    <x v="3"/>
    <x v="2"/>
    <s v="Töötajate töötasud"/>
    <s v="2"/>
    <x v="1"/>
    <m/>
    <m/>
    <s v="280"/>
    <s v="Roela, Tudu, Viru-Jaagupi teeninduspiirkond"/>
    <x v="12"/>
    <x v="0"/>
    <x v="12"/>
    <m/>
    <m/>
    <x v="3"/>
    <x v="3"/>
    <m/>
    <m/>
    <n v="1012.8"/>
  </r>
  <r>
    <x v="902"/>
    <n v="342.32640000000004"/>
    <x v="4"/>
    <x v="2"/>
    <s v="Tööjõukuludega kaasnevad maksud ja sotsiaalkindlustusmaksed"/>
    <s v="2"/>
    <x v="1"/>
    <m/>
    <m/>
    <s v="280"/>
    <s v="Roela, Tudu, Viru-Jaagupi teeninduspiirkond"/>
    <x v="12"/>
    <x v="0"/>
    <x v="12"/>
    <m/>
    <m/>
    <x v="3"/>
    <x v="3"/>
    <m/>
    <m/>
    <n v="342.32640000000004"/>
  </r>
  <r>
    <x v="903"/>
    <n v="1200"/>
    <x v="3"/>
    <x v="2"/>
    <s v="Töötajate töötasud"/>
    <s v="2"/>
    <x v="1"/>
    <m/>
    <m/>
    <s v="71"/>
    <s v="Muuga Spordihoone"/>
    <x v="94"/>
    <x v="2"/>
    <x v="92"/>
    <m/>
    <m/>
    <x v="3"/>
    <x v="13"/>
    <m/>
    <m/>
    <n v="1200"/>
  </r>
  <r>
    <x v="904"/>
    <n v="405.6"/>
    <x v="4"/>
    <x v="2"/>
    <s v="Tööjõukuludega kaasnevad maksud ja sotsiaalkindlustusmaksed"/>
    <s v="2"/>
    <x v="1"/>
    <m/>
    <m/>
    <s v="71"/>
    <s v="Muuga Spordihoone"/>
    <x v="94"/>
    <x v="2"/>
    <x v="92"/>
    <m/>
    <m/>
    <x v="3"/>
    <x v="13"/>
    <m/>
    <m/>
    <n v="405.6"/>
  </r>
  <r>
    <x v="905"/>
    <n v="1056"/>
    <x v="3"/>
    <x v="2"/>
    <s v="Töötajate töötasud"/>
    <s v="2"/>
    <x v="1"/>
    <m/>
    <m/>
    <s v="58"/>
    <s v="Viru-Jaagupi Raamatukogu"/>
    <x v="6"/>
    <x v="2"/>
    <x v="6"/>
    <m/>
    <m/>
    <x v="3"/>
    <x v="5"/>
    <m/>
    <m/>
    <n v="1056"/>
  </r>
  <r>
    <x v="906"/>
    <n v="504"/>
    <x v="3"/>
    <x v="2"/>
    <s v="Töötajate töötasud"/>
    <s v="2"/>
    <x v="1"/>
    <m/>
    <m/>
    <s v="57"/>
    <s v="Vinni Raamatukogu"/>
    <x v="5"/>
    <x v="2"/>
    <x v="5"/>
    <m/>
    <m/>
    <x v="3"/>
    <x v="5"/>
    <m/>
    <m/>
    <n v="504"/>
  </r>
  <r>
    <x v="907"/>
    <n v="720"/>
    <x v="3"/>
    <x v="2"/>
    <s v="Töötajate töötasud"/>
    <s v="2"/>
    <x v="1"/>
    <m/>
    <m/>
    <s v="57"/>
    <s v="Vinni Raamatukogu"/>
    <x v="5"/>
    <x v="2"/>
    <x v="5"/>
    <m/>
    <m/>
    <x v="3"/>
    <x v="5"/>
    <m/>
    <m/>
    <n v="720"/>
  </r>
  <r>
    <x v="908"/>
    <n v="336"/>
    <x v="3"/>
    <x v="2"/>
    <s v="Töötajate töötasud"/>
    <s v="2"/>
    <x v="1"/>
    <m/>
    <m/>
    <s v="55"/>
    <s v="Ulvi Raamatukogu"/>
    <x v="28"/>
    <x v="2"/>
    <x v="28"/>
    <m/>
    <m/>
    <x v="3"/>
    <x v="5"/>
    <m/>
    <m/>
    <n v="336"/>
  </r>
  <r>
    <x v="909"/>
    <n v="1056"/>
    <x v="3"/>
    <x v="2"/>
    <s v="Töötajate töötasud"/>
    <s v="2"/>
    <x v="1"/>
    <m/>
    <m/>
    <s v="53"/>
    <s v="Roela Raamatukogu"/>
    <x v="41"/>
    <x v="2"/>
    <x v="41"/>
    <m/>
    <m/>
    <x v="3"/>
    <x v="5"/>
    <m/>
    <m/>
    <n v="1056"/>
  </r>
  <r>
    <x v="910"/>
    <n v="948"/>
    <x v="3"/>
    <x v="2"/>
    <s v="Töötajate töötasud"/>
    <s v="2"/>
    <x v="1"/>
    <m/>
    <m/>
    <s v="54"/>
    <s v="Tudu Raamatukogu"/>
    <x v="27"/>
    <x v="2"/>
    <x v="27"/>
    <m/>
    <m/>
    <x v="3"/>
    <x v="5"/>
    <m/>
    <m/>
    <n v="948"/>
  </r>
  <r>
    <x v="911"/>
    <n v="356.928"/>
    <x v="4"/>
    <x v="2"/>
    <s v="Tööjõukuludega kaasnevad maksud ja sotsiaalkindlustusmaksed"/>
    <s v="2"/>
    <x v="1"/>
    <m/>
    <m/>
    <s v="58"/>
    <s v="Viru-Jaagupi Raamatukogu"/>
    <x v="6"/>
    <x v="2"/>
    <x v="6"/>
    <m/>
    <m/>
    <x v="3"/>
    <x v="5"/>
    <m/>
    <m/>
    <n v="356.928"/>
  </r>
  <r>
    <x v="912"/>
    <n v="170.352"/>
    <x v="4"/>
    <x v="2"/>
    <s v="Tööjõukuludega kaasnevad maksud ja sotsiaalkindlustusmaksed"/>
    <s v="2"/>
    <x v="1"/>
    <m/>
    <m/>
    <s v="57"/>
    <s v="Vinni Raamatukogu"/>
    <x v="5"/>
    <x v="2"/>
    <x v="5"/>
    <m/>
    <m/>
    <x v="3"/>
    <x v="5"/>
    <m/>
    <m/>
    <n v="170.352"/>
  </r>
  <r>
    <x v="913"/>
    <n v="243.36"/>
    <x v="4"/>
    <x v="2"/>
    <s v="Tööjõukuludega kaasnevad maksud ja sotsiaalkindlustusmaksed"/>
    <s v="2"/>
    <x v="1"/>
    <m/>
    <m/>
    <s v="57"/>
    <s v="Vinni Raamatukogu"/>
    <x v="5"/>
    <x v="2"/>
    <x v="5"/>
    <m/>
    <m/>
    <x v="3"/>
    <x v="5"/>
    <m/>
    <m/>
    <n v="243.36"/>
  </r>
  <r>
    <x v="914"/>
    <n v="113.568"/>
    <x v="4"/>
    <x v="2"/>
    <s v="Tööjõukuludega kaasnevad maksud ja sotsiaalkindlustusmaksed"/>
    <s v="2"/>
    <x v="1"/>
    <m/>
    <m/>
    <s v="55"/>
    <s v="Ulvi Raamatukogu"/>
    <x v="28"/>
    <x v="2"/>
    <x v="28"/>
    <m/>
    <m/>
    <x v="3"/>
    <x v="5"/>
    <m/>
    <m/>
    <n v="113.568"/>
  </r>
  <r>
    <x v="915"/>
    <n v="356.928"/>
    <x v="4"/>
    <x v="2"/>
    <s v="Tööjõukuludega kaasnevad maksud ja sotsiaalkindlustusmaksed"/>
    <s v="2"/>
    <x v="1"/>
    <m/>
    <m/>
    <s v="53"/>
    <s v="Roela Raamatukogu"/>
    <x v="41"/>
    <x v="2"/>
    <x v="41"/>
    <m/>
    <m/>
    <x v="3"/>
    <x v="5"/>
    <m/>
    <m/>
    <n v="356.928"/>
  </r>
  <r>
    <x v="916"/>
    <n v="320.42399999999998"/>
    <x v="4"/>
    <x v="2"/>
    <s v="Tööjõukuludega kaasnevad maksud ja sotsiaalkindlustusmaksed"/>
    <s v="2"/>
    <x v="1"/>
    <m/>
    <m/>
    <s v="54"/>
    <s v="Tudu Raamatukogu"/>
    <x v="27"/>
    <x v="2"/>
    <x v="27"/>
    <m/>
    <m/>
    <x v="3"/>
    <x v="5"/>
    <m/>
    <m/>
    <n v="320.42399999999998"/>
  </r>
  <r>
    <x v="917"/>
    <n v="1200"/>
    <x v="3"/>
    <x v="2"/>
    <s v="Töötajate töötasud"/>
    <s v="2"/>
    <x v="1"/>
    <m/>
    <m/>
    <s v="68"/>
    <s v="Vinni Vallamuuseum"/>
    <x v="9"/>
    <x v="2"/>
    <x v="9"/>
    <m/>
    <m/>
    <x v="3"/>
    <x v="7"/>
    <m/>
    <m/>
    <n v="1200"/>
  </r>
  <r>
    <x v="918"/>
    <n v="405.6"/>
    <x v="4"/>
    <x v="2"/>
    <s v="Tööjõukuludega kaasnevad maksud ja sotsiaalkindlustusmaksed"/>
    <s v="2"/>
    <x v="1"/>
    <m/>
    <m/>
    <s v="68"/>
    <s v="Vinni Vallamuuseum"/>
    <x v="9"/>
    <x v="2"/>
    <x v="9"/>
    <m/>
    <m/>
    <x v="3"/>
    <x v="7"/>
    <m/>
    <m/>
    <n v="405.6"/>
  </r>
  <r>
    <x v="919"/>
    <n v="1200"/>
    <x v="3"/>
    <x v="2"/>
    <s v="Töötajate töötasud"/>
    <s v="2"/>
    <x v="1"/>
    <m/>
    <m/>
    <s v="31"/>
    <s v="Vinni Lasteaed"/>
    <x v="8"/>
    <x v="1"/>
    <x v="8"/>
    <m/>
    <m/>
    <x v="3"/>
    <x v="1"/>
    <m/>
    <m/>
    <n v="1200"/>
  </r>
  <r>
    <x v="920"/>
    <n v="405.6"/>
    <x v="4"/>
    <x v="2"/>
    <s v="Tööjõukuludega kaasnevad maksud ja sotsiaalkindlustusmaksed"/>
    <s v="2"/>
    <x v="1"/>
    <m/>
    <m/>
    <s v="31"/>
    <s v="Vinni Lasteaed"/>
    <x v="8"/>
    <x v="1"/>
    <x v="8"/>
    <m/>
    <m/>
    <x v="3"/>
    <x v="1"/>
    <m/>
    <m/>
    <n v="405.6"/>
  </r>
  <r>
    <x v="921"/>
    <n v="1140"/>
    <x v="3"/>
    <x v="2"/>
    <s v="Töötajate töötasud"/>
    <s v="2"/>
    <x v="1"/>
    <m/>
    <m/>
    <s v="32"/>
    <s v="Kulina Lasteaed"/>
    <x v="36"/>
    <x v="1"/>
    <x v="36"/>
    <m/>
    <m/>
    <x v="3"/>
    <x v="1"/>
    <m/>
    <m/>
    <n v="1140"/>
  </r>
  <r>
    <x v="922"/>
    <n v="385.32"/>
    <x v="4"/>
    <x v="2"/>
    <s v="Tööjõukuludega kaasnevad maksud ja sotsiaalkindlustusmaksed"/>
    <s v="2"/>
    <x v="1"/>
    <m/>
    <m/>
    <s v="32"/>
    <s v="Kulina Lasteaed"/>
    <x v="36"/>
    <x v="1"/>
    <x v="36"/>
    <m/>
    <m/>
    <x v="3"/>
    <x v="1"/>
    <m/>
    <m/>
    <n v="385.32"/>
  </r>
  <r>
    <x v="923"/>
    <n v="480"/>
    <x v="3"/>
    <x v="2"/>
    <s v="Töötajate töötasud"/>
    <s v="2"/>
    <x v="1"/>
    <m/>
    <m/>
    <s v="43"/>
    <s v="Roela kool"/>
    <x v="34"/>
    <x v="1"/>
    <x v="34"/>
    <m/>
    <m/>
    <x v="3"/>
    <x v="6"/>
    <m/>
    <m/>
    <n v="480"/>
  </r>
  <r>
    <x v="924"/>
    <n v="924"/>
    <x v="3"/>
    <x v="2"/>
    <s v="Töötajate töötasud"/>
    <s v="2"/>
    <x v="1"/>
    <m/>
    <m/>
    <s v="43"/>
    <s v="Roela kool"/>
    <x v="34"/>
    <x v="1"/>
    <x v="34"/>
    <m/>
    <m/>
    <x v="3"/>
    <x v="6"/>
    <m/>
    <m/>
    <n v="924"/>
  </r>
  <r>
    <x v="925"/>
    <n v="900"/>
    <x v="3"/>
    <x v="2"/>
    <s v="Töötajate töötasud"/>
    <s v="2"/>
    <x v="1"/>
    <m/>
    <m/>
    <s v="43"/>
    <s v="Roela kool"/>
    <x v="34"/>
    <x v="1"/>
    <x v="34"/>
    <m/>
    <m/>
    <x v="3"/>
    <x v="6"/>
    <m/>
    <m/>
    <n v="900"/>
  </r>
  <r>
    <x v="46"/>
    <n v="7848"/>
    <x v="3"/>
    <x v="2"/>
    <s v="Töötajate töötasud"/>
    <s v="2"/>
    <x v="1"/>
    <m/>
    <m/>
    <s v="43"/>
    <s v="Roela kool"/>
    <x v="34"/>
    <x v="1"/>
    <x v="34"/>
    <m/>
    <m/>
    <x v="3"/>
    <x v="6"/>
    <m/>
    <m/>
    <n v="7848"/>
  </r>
  <r>
    <x v="926"/>
    <n v="1188"/>
    <x v="3"/>
    <x v="2"/>
    <s v="Töötajate töötasud"/>
    <s v="2"/>
    <x v="1"/>
    <m/>
    <m/>
    <s v="43"/>
    <s v="Roela kool"/>
    <x v="34"/>
    <x v="1"/>
    <x v="34"/>
    <m/>
    <m/>
    <x v="3"/>
    <x v="6"/>
    <m/>
    <m/>
    <n v="1188"/>
  </r>
  <r>
    <x v="927"/>
    <n v="162.24"/>
    <x v="4"/>
    <x v="2"/>
    <s v="Tööjõukuludega kaasnevad maksud ja sotsiaalkindlustusmaksed"/>
    <s v="2"/>
    <x v="1"/>
    <m/>
    <m/>
    <s v="43"/>
    <s v="Roela kool"/>
    <x v="34"/>
    <x v="1"/>
    <x v="34"/>
    <m/>
    <m/>
    <x v="3"/>
    <x v="6"/>
    <m/>
    <m/>
    <n v="162.24"/>
  </r>
  <r>
    <x v="928"/>
    <n v="312.31200000000001"/>
    <x v="4"/>
    <x v="2"/>
    <s v="Tööjõukuludega kaasnevad maksud ja sotsiaalkindlustusmaksed"/>
    <s v="2"/>
    <x v="1"/>
    <m/>
    <m/>
    <s v="43"/>
    <s v="Roela kool"/>
    <x v="34"/>
    <x v="1"/>
    <x v="34"/>
    <m/>
    <m/>
    <x v="3"/>
    <x v="6"/>
    <m/>
    <m/>
    <n v="312.31200000000001"/>
  </r>
  <r>
    <x v="929"/>
    <n v="304.20000000000005"/>
    <x v="4"/>
    <x v="2"/>
    <s v="Tööjõukuludega kaasnevad maksud ja sotsiaalkindlustusmaksed"/>
    <s v="2"/>
    <x v="1"/>
    <m/>
    <m/>
    <s v="43"/>
    <s v="Roela kool"/>
    <x v="34"/>
    <x v="1"/>
    <x v="34"/>
    <m/>
    <m/>
    <x v="3"/>
    <x v="6"/>
    <m/>
    <m/>
    <n v="304.20000000000005"/>
  </r>
  <r>
    <x v="930"/>
    <n v="401.54400000000004"/>
    <x v="4"/>
    <x v="2"/>
    <s v="Tööjõukuludega kaasnevad maksud ja sotsiaalkindlustusmaksed"/>
    <s v="2"/>
    <x v="1"/>
    <m/>
    <m/>
    <s v="43"/>
    <s v="Roela kool"/>
    <x v="34"/>
    <x v="1"/>
    <x v="34"/>
    <m/>
    <m/>
    <x v="3"/>
    <x v="6"/>
    <m/>
    <m/>
    <n v="401.54400000000004"/>
  </r>
  <r>
    <x v="931"/>
    <n v="840"/>
    <x v="3"/>
    <x v="2"/>
    <s v="Töötajate töötasud"/>
    <s v="2"/>
    <x v="1"/>
    <m/>
    <m/>
    <s v="45"/>
    <s v="Vinni pajusti Gümnaasium"/>
    <x v="7"/>
    <x v="1"/>
    <x v="7"/>
    <m/>
    <m/>
    <x v="3"/>
    <x v="6"/>
    <m/>
    <m/>
    <n v="840"/>
  </r>
  <r>
    <x v="932"/>
    <n v="283.92"/>
    <x v="4"/>
    <x v="2"/>
    <s v="Tööjõukuludega kaasnevad maksud ja sotsiaalkindlustusmaksed"/>
    <s v="2"/>
    <x v="1"/>
    <m/>
    <m/>
    <s v="45"/>
    <s v="Vinni pajusti Gümnaasium"/>
    <x v="7"/>
    <x v="1"/>
    <x v="7"/>
    <m/>
    <m/>
    <x v="3"/>
    <x v="6"/>
    <m/>
    <m/>
    <n v="283.92"/>
  </r>
  <r>
    <x v="933"/>
    <n v="1200"/>
    <x v="3"/>
    <x v="2"/>
    <s v="Töötajate töötasud"/>
    <s v="2"/>
    <x v="1"/>
    <m/>
    <m/>
    <s v="45"/>
    <s v="Vinni pajusti Gümnaasium"/>
    <x v="7"/>
    <x v="1"/>
    <x v="7"/>
    <m/>
    <m/>
    <x v="3"/>
    <x v="6"/>
    <m/>
    <m/>
    <n v="1200"/>
  </r>
  <r>
    <x v="934"/>
    <n v="405.6"/>
    <x v="4"/>
    <x v="2"/>
    <s v="Tööjõukuludega kaasnevad maksud ja sotsiaalkindlustusmaksed"/>
    <s v="2"/>
    <x v="1"/>
    <m/>
    <m/>
    <s v="45"/>
    <s v="Vinni pajusti Gümnaasium"/>
    <x v="7"/>
    <x v="1"/>
    <x v="7"/>
    <m/>
    <m/>
    <x v="3"/>
    <x v="6"/>
    <m/>
    <m/>
    <n v="405.6"/>
  </r>
  <r>
    <x v="935"/>
    <n v="1200"/>
    <x v="3"/>
    <x v="2"/>
    <s v="Töötajate töötasud"/>
    <s v="2"/>
    <x v="1"/>
    <m/>
    <m/>
    <s v="45"/>
    <s v="Vinni pajusti Gümnaasium"/>
    <x v="7"/>
    <x v="1"/>
    <x v="7"/>
    <m/>
    <m/>
    <x v="3"/>
    <x v="6"/>
    <m/>
    <m/>
    <n v="1200"/>
  </r>
  <r>
    <x v="936"/>
    <n v="405.6"/>
    <x v="4"/>
    <x v="2"/>
    <s v="Tööjõukuludega kaasnevad maksud ja sotsiaalkindlustusmaksed"/>
    <s v="2"/>
    <x v="1"/>
    <m/>
    <m/>
    <s v="45"/>
    <s v="Vinni pajusti Gümnaasium"/>
    <x v="7"/>
    <x v="1"/>
    <x v="7"/>
    <m/>
    <m/>
    <x v="3"/>
    <x v="6"/>
    <m/>
    <m/>
    <n v="405.6"/>
  </r>
  <r>
    <x v="937"/>
    <n v="720"/>
    <x v="3"/>
    <x v="2"/>
    <s v="Töötajate töötasud"/>
    <s v="2"/>
    <x v="1"/>
    <m/>
    <m/>
    <s v="45"/>
    <s v="Vinni pajusti Gümnaasium"/>
    <x v="7"/>
    <x v="1"/>
    <x v="7"/>
    <m/>
    <m/>
    <x v="3"/>
    <x v="6"/>
    <m/>
    <m/>
    <n v="720"/>
  </r>
  <r>
    <x v="938"/>
    <n v="243.36"/>
    <x v="4"/>
    <x v="2"/>
    <s v="Tööjõukuludega kaasnevad maksud ja sotsiaalkindlustusmaksed"/>
    <s v="2"/>
    <x v="1"/>
    <m/>
    <m/>
    <s v="45"/>
    <s v="Vinni pajusti Gümnaasium"/>
    <x v="7"/>
    <x v="1"/>
    <x v="7"/>
    <m/>
    <m/>
    <x v="3"/>
    <x v="6"/>
    <m/>
    <m/>
    <n v="243.36"/>
  </r>
  <r>
    <x v="939"/>
    <n v="720"/>
    <x v="3"/>
    <x v="2"/>
    <s v="Töötajate töötasud"/>
    <s v="2"/>
    <x v="1"/>
    <m/>
    <m/>
    <s v="45"/>
    <s v="Vinni pajusti Gümnaasium"/>
    <x v="7"/>
    <x v="1"/>
    <x v="7"/>
    <m/>
    <m/>
    <x v="3"/>
    <x v="6"/>
    <m/>
    <m/>
    <n v="720"/>
  </r>
  <r>
    <x v="940"/>
    <n v="243.36"/>
    <x v="4"/>
    <x v="2"/>
    <s v="Tööjõukuludega kaasnevad maksud ja sotsiaalkindlustusmaksed"/>
    <s v="2"/>
    <x v="1"/>
    <m/>
    <m/>
    <s v="45"/>
    <s v="Vinni pajusti Gümnaasium"/>
    <x v="7"/>
    <x v="1"/>
    <x v="7"/>
    <m/>
    <m/>
    <x v="3"/>
    <x v="6"/>
    <m/>
    <m/>
    <n v="243.36"/>
  </r>
  <r>
    <x v="926"/>
    <n v="1140"/>
    <x v="3"/>
    <x v="2"/>
    <s v="Töötajate töötasud"/>
    <s v="2"/>
    <x v="1"/>
    <m/>
    <m/>
    <s v="41"/>
    <s v="Muuga-Laekvere Kool"/>
    <x v="40"/>
    <x v="1"/>
    <x v="40"/>
    <m/>
    <m/>
    <x v="3"/>
    <x v="6"/>
    <m/>
    <m/>
    <n v="1140"/>
  </r>
  <r>
    <x v="930"/>
    <n v="385.32"/>
    <x v="4"/>
    <x v="2"/>
    <s v="Tööjõukuludega kaasnevad maksud ja sotsiaalkindlustusmaksed"/>
    <s v="2"/>
    <x v="1"/>
    <m/>
    <m/>
    <s v="41"/>
    <s v="Muuga-Laekvere Kool"/>
    <x v="40"/>
    <x v="1"/>
    <x v="40"/>
    <m/>
    <m/>
    <x v="3"/>
    <x v="6"/>
    <m/>
    <m/>
    <n v="385.32"/>
  </r>
  <r>
    <x v="941"/>
    <n v="960"/>
    <x v="3"/>
    <x v="2"/>
    <s v="Töötajate töötasud"/>
    <s v="2"/>
    <x v="1"/>
    <m/>
    <m/>
    <s v="24"/>
    <s v="Sotsiaalteenistus"/>
    <x v="30"/>
    <x v="4"/>
    <x v="30"/>
    <m/>
    <m/>
    <x v="3"/>
    <x v="18"/>
    <m/>
    <m/>
    <n v="960"/>
  </r>
  <r>
    <x v="942"/>
    <n v="324.48"/>
    <x v="4"/>
    <x v="2"/>
    <s v="Tööjõukuludega kaasnevad maksud ja sotsiaalkindlustusmaksed"/>
    <s v="2"/>
    <x v="1"/>
    <m/>
    <m/>
    <s v="24"/>
    <s v="Sotsiaalteenistus"/>
    <x v="30"/>
    <x v="4"/>
    <x v="30"/>
    <m/>
    <m/>
    <x v="3"/>
    <x v="18"/>
    <m/>
    <m/>
    <n v="324.48"/>
  </r>
  <r>
    <x v="943"/>
    <n v="1000"/>
    <x v="29"/>
    <x v="3"/>
    <s v="Inventari majandamiskulud"/>
    <s v="2"/>
    <x v="1"/>
    <m/>
    <m/>
    <s v="41"/>
    <s v="Muuga-Laekvere Kool"/>
    <x v="40"/>
    <x v="1"/>
    <x v="40"/>
    <m/>
    <m/>
    <x v="4"/>
    <x v="6"/>
    <m/>
    <m/>
    <n v="1000"/>
  </r>
  <r>
    <x v="944"/>
    <n v="960"/>
    <x v="3"/>
    <x v="2"/>
    <s v="Töötajate töötasud"/>
    <s v="2"/>
    <x v="1"/>
    <m/>
    <m/>
    <s v="43"/>
    <s v="Roela kool"/>
    <x v="95"/>
    <x v="1"/>
    <x v="93"/>
    <m/>
    <m/>
    <x v="3"/>
    <x v="38"/>
    <m/>
    <m/>
    <n v="960"/>
  </r>
  <r>
    <x v="945"/>
    <n v="324.48"/>
    <x v="4"/>
    <x v="2"/>
    <s v="Tööjõukuludega kaasnevad maksud ja sotsiaalkindlustusmaksed"/>
    <s v="2"/>
    <x v="1"/>
    <m/>
    <m/>
    <s v="43"/>
    <s v="Roela kool"/>
    <x v="95"/>
    <x v="1"/>
    <x v="93"/>
    <m/>
    <m/>
    <x v="3"/>
    <x v="38"/>
    <m/>
    <m/>
    <n v="324.48"/>
  </r>
  <r>
    <x v="946"/>
    <n v="960"/>
    <x v="3"/>
    <x v="2"/>
    <s v="Töötajate töötasud"/>
    <s v="2"/>
    <x v="1"/>
    <m/>
    <m/>
    <s v="43"/>
    <s v="Roela kool"/>
    <x v="95"/>
    <x v="1"/>
    <x v="93"/>
    <m/>
    <m/>
    <x v="3"/>
    <x v="38"/>
    <m/>
    <m/>
    <n v="960"/>
  </r>
  <r>
    <x v="947"/>
    <n v="324.48"/>
    <x v="4"/>
    <x v="2"/>
    <s v="Tööjõukuludega kaasnevad maksud ja sotsiaalkindlustusmaksed"/>
    <s v="2"/>
    <x v="1"/>
    <m/>
    <m/>
    <s v="43"/>
    <s v="Roela kool"/>
    <x v="95"/>
    <x v="1"/>
    <x v="93"/>
    <m/>
    <m/>
    <x v="3"/>
    <x v="38"/>
    <m/>
    <m/>
    <n v="324.48"/>
  </r>
  <r>
    <x v="948"/>
    <n v="120"/>
    <x v="29"/>
    <x v="3"/>
    <s v="Inventari majandamiskulud"/>
    <s v="2"/>
    <x v="1"/>
    <m/>
    <m/>
    <s v="58"/>
    <s v="Viru-Jaagupi Raamatukogu"/>
    <x v="6"/>
    <x v="2"/>
    <x v="6"/>
    <m/>
    <m/>
    <x v="4"/>
    <x v="5"/>
    <m/>
    <m/>
    <n v="120"/>
  </r>
  <r>
    <x v="949"/>
    <n v="732"/>
    <x v="8"/>
    <x v="3"/>
    <s v="Kinnistute, hoonete ja ruumide majandamiskulud"/>
    <s v="2"/>
    <x v="1"/>
    <m/>
    <m/>
    <s v="43"/>
    <s v="Roela kool"/>
    <x v="95"/>
    <x v="1"/>
    <x v="93"/>
    <m/>
    <m/>
    <x v="4"/>
    <x v="38"/>
    <m/>
    <m/>
    <n v="732"/>
  </r>
  <r>
    <x v="950"/>
    <n v="1700"/>
    <x v="29"/>
    <x v="3"/>
    <s v="Inventari majandamiskulud"/>
    <s v="2"/>
    <x v="1"/>
    <m/>
    <m/>
    <s v="43"/>
    <s v="Roela kool"/>
    <x v="95"/>
    <x v="1"/>
    <x v="93"/>
    <m/>
    <m/>
    <x v="4"/>
    <x v="38"/>
    <m/>
    <m/>
    <n v="1700"/>
  </r>
  <r>
    <x v="951"/>
    <n v="1000"/>
    <x v="29"/>
    <x v="3"/>
    <s v="Inventari majandamiskulud"/>
    <s v="2"/>
    <x v="1"/>
    <m/>
    <m/>
    <s v="43"/>
    <s v="Roela kool"/>
    <x v="95"/>
    <x v="1"/>
    <x v="93"/>
    <m/>
    <m/>
    <x v="4"/>
    <x v="38"/>
    <m/>
    <m/>
    <n v="1000"/>
  </r>
  <r>
    <x v="952"/>
    <n v="8200"/>
    <x v="29"/>
    <x v="3"/>
    <s v="Inventari majandamiskulud"/>
    <s v="2"/>
    <x v="1"/>
    <m/>
    <m/>
    <s v="45"/>
    <s v="Vinni pajusti Gümnaasium"/>
    <x v="7"/>
    <x v="1"/>
    <x v="7"/>
    <m/>
    <m/>
    <x v="4"/>
    <x v="6"/>
    <m/>
    <m/>
    <n v="8200"/>
  </r>
  <r>
    <x v="953"/>
    <n v="600"/>
    <x v="29"/>
    <x v="3"/>
    <s v="Inventari majandamiskulud"/>
    <s v="2"/>
    <x v="1"/>
    <m/>
    <m/>
    <s v="2"/>
    <s v="Valla- ja linnavalitsus"/>
    <x v="17"/>
    <x v="5"/>
    <x v="17"/>
    <m/>
    <m/>
    <x v="4"/>
    <x v="12"/>
    <m/>
    <m/>
    <n v="600"/>
  </r>
  <r>
    <x v="954"/>
    <n v="200"/>
    <x v="29"/>
    <x v="3"/>
    <s v="Inventari majandamiskulud"/>
    <s v="2"/>
    <x v="1"/>
    <m/>
    <m/>
    <s v="2"/>
    <s v="Valla- ja linnavalitsus"/>
    <x v="17"/>
    <x v="5"/>
    <x v="17"/>
    <m/>
    <m/>
    <x v="4"/>
    <x v="12"/>
    <m/>
    <m/>
    <n v="200"/>
  </r>
  <r>
    <x v="955"/>
    <n v="3036.03"/>
    <x v="40"/>
    <x v="3"/>
    <s v="Lähetuskulud (v.a koolituslähetus)"/>
    <s v="2"/>
    <x v="1"/>
    <m/>
    <m/>
    <s v="2"/>
    <s v="Valla- ja linnavalitsus"/>
    <x v="17"/>
    <x v="5"/>
    <x v="17"/>
    <m/>
    <m/>
    <x v="4"/>
    <x v="12"/>
    <m/>
    <m/>
    <n v="3036.03"/>
  </r>
  <r>
    <x v="956"/>
    <n v="10400"/>
    <x v="49"/>
    <x v="2"/>
    <s v="Töötasud"/>
    <s v="2"/>
    <x v="1"/>
    <m/>
    <m/>
    <s v="2"/>
    <s v="Valla- ja linnavalitsus"/>
    <x v="17"/>
    <x v="5"/>
    <x v="17"/>
    <m/>
    <m/>
    <x v="3"/>
    <x v="12"/>
    <m/>
    <m/>
    <n v="10400"/>
  </r>
  <r>
    <x v="957"/>
    <n v="3515.2000000000003"/>
    <x v="4"/>
    <x v="2"/>
    <s v="Tööjõukuludega kaasnevad maksud ja sotsiaalkindlustusmaksed"/>
    <s v="2"/>
    <x v="1"/>
    <m/>
    <m/>
    <s v="2"/>
    <s v="Valla- ja linnavalitsus"/>
    <x v="17"/>
    <x v="5"/>
    <x v="17"/>
    <m/>
    <m/>
    <x v="3"/>
    <x v="12"/>
    <m/>
    <m/>
    <n v="3515.2000000000003"/>
  </r>
  <r>
    <x v="958"/>
    <n v="2000"/>
    <x v="9"/>
    <x v="3"/>
    <s v="Administreerimiskulud"/>
    <s v="2"/>
    <x v="1"/>
    <m/>
    <m/>
    <s v="2"/>
    <s v="Valla- ja linnavalitsus"/>
    <x v="17"/>
    <x v="5"/>
    <x v="17"/>
    <m/>
    <m/>
    <x v="4"/>
    <x v="12"/>
    <m/>
    <m/>
    <n v="2000"/>
  </r>
  <r>
    <x v="959"/>
    <n v="600"/>
    <x v="9"/>
    <x v="3"/>
    <s v="Administreerimiskulud"/>
    <s v="2"/>
    <x v="1"/>
    <m/>
    <m/>
    <s v="2"/>
    <s v="Valla- ja linnavalitsus"/>
    <x v="17"/>
    <x v="5"/>
    <x v="17"/>
    <m/>
    <m/>
    <x v="4"/>
    <x v="12"/>
    <m/>
    <m/>
    <n v="600"/>
  </r>
  <r>
    <x v="960"/>
    <n v="3000"/>
    <x v="10"/>
    <x v="3"/>
    <s v="Info- ja kommunikatsioonitehnoloogia kulud"/>
    <s v="2"/>
    <x v="1"/>
    <m/>
    <m/>
    <s v="2"/>
    <s v="Valla- ja linnavalitsus"/>
    <x v="17"/>
    <x v="5"/>
    <x v="17"/>
    <m/>
    <m/>
    <x v="4"/>
    <x v="12"/>
    <m/>
    <m/>
    <n v="3000"/>
  </r>
  <r>
    <x v="961"/>
    <n v="10000"/>
    <x v="29"/>
    <x v="3"/>
    <s v="Inventari majandamiskulud"/>
    <s v="2"/>
    <x v="1"/>
    <m/>
    <m/>
    <s v="2"/>
    <s v="Valla- ja linnavalitsus"/>
    <x v="17"/>
    <x v="5"/>
    <x v="17"/>
    <m/>
    <m/>
    <x v="4"/>
    <x v="12"/>
    <m/>
    <m/>
    <n v="10000"/>
  </r>
  <r>
    <x v="962"/>
    <n v="6000"/>
    <x v="20"/>
    <x v="2"/>
    <s v="Valitavate ametnike ja kõrgemate riigiteenijate töötasu"/>
    <s v="2"/>
    <x v="1"/>
    <m/>
    <m/>
    <s v="1"/>
    <s v="Valla- ja linnavolikogu"/>
    <x v="97"/>
    <x v="5"/>
    <x v="95"/>
    <m/>
    <m/>
    <x v="3"/>
    <x v="40"/>
    <m/>
    <m/>
    <n v="6000"/>
  </r>
  <r>
    <x v="4"/>
    <n v="92204.783258594922"/>
    <x v="4"/>
    <x v="2"/>
    <s v="Tööjõukuludega kaasnevad maksud ja sotsiaalkindlustusmaksed"/>
    <s v="2"/>
    <x v="1"/>
    <s v=""/>
    <s v=""/>
    <s v="41"/>
    <s v="Muuga-Laekvere Kool "/>
    <x v="40"/>
    <x v="1"/>
    <x v="40"/>
    <s v="12"/>
    <s v="Toetuseelarve"/>
    <x v="3"/>
    <x v="6"/>
    <m/>
    <m/>
    <n v="92204.783258594922"/>
  </r>
  <r>
    <x v="963"/>
    <n v="272795.21674140508"/>
    <x v="3"/>
    <x v="2"/>
    <s v="Töötajate töötasud"/>
    <s v="2"/>
    <x v="1"/>
    <s v=""/>
    <s v=""/>
    <s v="41"/>
    <s v="Muuga-Laekvere Kool "/>
    <x v="40"/>
    <x v="1"/>
    <x v="40"/>
    <s v="12"/>
    <s v="Toetuseelarve"/>
    <x v="3"/>
    <x v="6"/>
    <m/>
    <m/>
    <n v="272795.21674140508"/>
  </r>
  <r>
    <x v="964"/>
    <n v="1925"/>
    <x v="31"/>
    <x v="3"/>
    <s v="Koolituskulud (sh koolituslähetus)"/>
    <s v="2"/>
    <x v="1"/>
    <m/>
    <m/>
    <s v="41"/>
    <s v="Muuga-Laekvere Kool "/>
    <x v="40"/>
    <x v="1"/>
    <x v="40"/>
    <s v="12"/>
    <s v="Toetuseelarve"/>
    <x v="4"/>
    <x v="6"/>
    <m/>
    <m/>
    <n v="1925"/>
  </r>
  <r>
    <x v="63"/>
    <n v="19600"/>
    <x v="16"/>
    <x v="3"/>
    <s v="Toiduained ja toitlustusteenused"/>
    <s v="2"/>
    <x v="1"/>
    <s v=""/>
    <s v=""/>
    <s v="41"/>
    <s v="Muuga-Laekvere Kool "/>
    <x v="40"/>
    <x v="1"/>
    <x v="40"/>
    <s v="12"/>
    <s v="Toetuseelarve"/>
    <x v="4"/>
    <x v="6"/>
    <m/>
    <m/>
    <n v="19600"/>
  </r>
  <r>
    <x v="965"/>
    <n v="6384"/>
    <x v="15"/>
    <x v="3"/>
    <s v="Õppevahendite ja koolituse kulud"/>
    <s v="2"/>
    <x v="1"/>
    <m/>
    <m/>
    <s v="41"/>
    <s v="Muuga-Laekvere Kool "/>
    <x v="40"/>
    <x v="1"/>
    <x v="40"/>
    <s v="12"/>
    <s v="Toetuseelarve"/>
    <x v="4"/>
    <x v="6"/>
    <m/>
    <m/>
    <n v="6384"/>
  </r>
  <r>
    <x v="966"/>
    <n v="28163.677130044842"/>
    <x v="3"/>
    <x v="2"/>
    <s v="Töötajate töötasud"/>
    <s v="2"/>
    <x v="1"/>
    <s v=""/>
    <s v=""/>
    <s v="41"/>
    <s v="Muuga-Laekvere Kool "/>
    <x v="40"/>
    <x v="1"/>
    <x v="40"/>
    <s v="12"/>
    <s v="Toetuseelarve"/>
    <x v="3"/>
    <x v="6"/>
    <m/>
    <m/>
    <n v="28163.677130044842"/>
  </r>
  <r>
    <x v="4"/>
    <n v="9519.3228699551564"/>
    <x v="4"/>
    <x v="2"/>
    <s v="Tööjõukuludega kaasnevad maksud ja sotsiaalkindlustusmaksed"/>
    <s v="2"/>
    <x v="1"/>
    <s v=""/>
    <s v=""/>
    <s v="41"/>
    <s v="Muuga-Laekvere Kool "/>
    <x v="40"/>
    <x v="1"/>
    <x v="40"/>
    <s v="12"/>
    <s v="Toetuseelarve"/>
    <x v="3"/>
    <x v="6"/>
    <m/>
    <m/>
    <n v="9519.3228699551564"/>
  </r>
  <r>
    <x v="4"/>
    <n v="66437.967115097155"/>
    <x v="4"/>
    <x v="2"/>
    <s v="Tööjõukuludega kaasnevad maksud ja sotsiaalkindlustusmaksed"/>
    <s v="2"/>
    <x v="1"/>
    <s v=""/>
    <s v=""/>
    <s v="43"/>
    <s v="Roela kool"/>
    <x v="34"/>
    <x v="1"/>
    <x v="34"/>
    <s v="12"/>
    <s v="Toetuseelarve"/>
    <x v="3"/>
    <x v="6"/>
    <m/>
    <m/>
    <n v="66437.967115097155"/>
  </r>
  <r>
    <x v="963"/>
    <n v="196562.03288490282"/>
    <x v="3"/>
    <x v="2"/>
    <s v="Töötajate töötasud"/>
    <s v="2"/>
    <x v="1"/>
    <s v=""/>
    <s v=""/>
    <s v="43"/>
    <s v="Roela kool"/>
    <x v="34"/>
    <x v="1"/>
    <x v="34"/>
    <s v="12"/>
    <s v="Toetuseelarve"/>
    <x v="3"/>
    <x v="6"/>
    <m/>
    <m/>
    <n v="196562.03288490282"/>
  </r>
  <r>
    <x v="63"/>
    <n v="12250"/>
    <x v="16"/>
    <x v="3"/>
    <s v="Toiduained ja toitlustusteenused"/>
    <s v="2"/>
    <x v="1"/>
    <s v=""/>
    <s v=""/>
    <s v="43"/>
    <s v="Roela kool"/>
    <x v="34"/>
    <x v="1"/>
    <x v="34"/>
    <s v="12"/>
    <s v="Toetuseelarve"/>
    <x v="4"/>
    <x v="6"/>
    <m/>
    <m/>
    <n v="12250"/>
  </r>
  <r>
    <x v="964"/>
    <n v="1203"/>
    <x v="31"/>
    <x v="3"/>
    <s v="Koolituskulud (sh koolituslähetus)"/>
    <s v="2"/>
    <x v="1"/>
    <m/>
    <m/>
    <s v="43"/>
    <s v="Roela kool"/>
    <x v="34"/>
    <x v="1"/>
    <x v="34"/>
    <s v="12"/>
    <s v="Toetuseelarve"/>
    <x v="4"/>
    <x v="6"/>
    <m/>
    <m/>
    <n v="1203"/>
  </r>
  <r>
    <x v="965"/>
    <n v="3990"/>
    <x v="15"/>
    <x v="3"/>
    <s v="Õppevahendite ja koolituse kulud"/>
    <s v="2"/>
    <x v="1"/>
    <m/>
    <m/>
    <s v="43"/>
    <s v="Roela kool"/>
    <x v="34"/>
    <x v="1"/>
    <x v="34"/>
    <s v="12"/>
    <s v="Toetuseelarve"/>
    <x v="4"/>
    <x v="6"/>
    <m/>
    <m/>
    <n v="3990"/>
  </r>
  <r>
    <x v="967"/>
    <n v="17556.053811659192"/>
    <x v="3"/>
    <x v="2"/>
    <s v="Töötajate töötasud"/>
    <s v="2"/>
    <x v="1"/>
    <s v=""/>
    <s v=""/>
    <s v="43"/>
    <s v="Roela kool"/>
    <x v="34"/>
    <x v="1"/>
    <x v="34"/>
    <s v="12"/>
    <s v="Toetuseelarve"/>
    <x v="3"/>
    <x v="6"/>
    <m/>
    <m/>
    <n v="17556.053811659192"/>
  </r>
  <r>
    <x v="4"/>
    <n v="5933.9461883408076"/>
    <x v="4"/>
    <x v="2"/>
    <s v="Tööjõukuludega kaasnevad maksud ja sotsiaalkindlustusmaksed"/>
    <s v="2"/>
    <x v="1"/>
    <s v=""/>
    <s v=""/>
    <s v="43"/>
    <s v="Roela kool"/>
    <x v="34"/>
    <x v="1"/>
    <x v="34"/>
    <s v="12"/>
    <s v="Toetuseelarve"/>
    <x v="3"/>
    <x v="6"/>
    <m/>
    <m/>
    <n v="5933.9461883408076"/>
  </r>
  <r>
    <x v="964"/>
    <n v="138"/>
    <x v="31"/>
    <x v="3"/>
    <s v="Koolituskulud (sh koolituslähetus)"/>
    <s v="2"/>
    <x v="1"/>
    <m/>
    <m/>
    <s v="44"/>
    <s v="Tudu kool"/>
    <x v="44"/>
    <x v="1"/>
    <x v="44"/>
    <s v="12"/>
    <s v="Toetuseelarve"/>
    <x v="4"/>
    <x v="6"/>
    <m/>
    <m/>
    <n v="138"/>
  </r>
  <r>
    <x v="63"/>
    <n v="1400"/>
    <x v="16"/>
    <x v="3"/>
    <s v="Toiduained ja toitlustusteenused"/>
    <s v="2"/>
    <x v="1"/>
    <m/>
    <m/>
    <s v="44"/>
    <s v="Tudu kool"/>
    <x v="44"/>
    <x v="1"/>
    <x v="44"/>
    <s v="12"/>
    <s v="Toetuseelarve"/>
    <x v="4"/>
    <x v="6"/>
    <m/>
    <m/>
    <n v="1400"/>
  </r>
  <r>
    <x v="4"/>
    <n v="11734.005979073243"/>
    <x v="4"/>
    <x v="2"/>
    <s v="Tööjõukuludega kaasnevad maksud ja sotsiaalkindlustusmaksed"/>
    <s v="2"/>
    <x v="1"/>
    <m/>
    <m/>
    <s v="44"/>
    <s v="Tudu kool"/>
    <x v="44"/>
    <x v="1"/>
    <x v="44"/>
    <s v="12"/>
    <s v="Toetuseelarve"/>
    <x v="3"/>
    <x v="6"/>
    <m/>
    <m/>
    <n v="11734.005979073243"/>
  </r>
  <r>
    <x v="963"/>
    <n v="34715.994020926752"/>
    <x v="3"/>
    <x v="2"/>
    <s v="Töötajate töötasud"/>
    <s v="2"/>
    <x v="1"/>
    <m/>
    <m/>
    <s v="44"/>
    <s v="Tudu kool"/>
    <x v="44"/>
    <x v="1"/>
    <x v="44"/>
    <s v="12"/>
    <s v="Toetuseelarve"/>
    <x v="3"/>
    <x v="6"/>
    <m/>
    <m/>
    <n v="34715.994020926752"/>
  </r>
  <r>
    <x v="965"/>
    <n v="456"/>
    <x v="15"/>
    <x v="3"/>
    <s v="Õppevahendite ja koolituse kulud"/>
    <s v="2"/>
    <x v="1"/>
    <m/>
    <m/>
    <s v="44"/>
    <s v="Tudu kool"/>
    <x v="44"/>
    <x v="1"/>
    <x v="44"/>
    <s v="12"/>
    <s v="Toetuseelarve"/>
    <x v="4"/>
    <x v="6"/>
    <m/>
    <m/>
    <n v="456"/>
  </r>
  <r>
    <x v="968"/>
    <n v="11003.736920777279"/>
    <x v="3"/>
    <x v="2"/>
    <s v="Töötajate töötasud"/>
    <s v="2"/>
    <x v="1"/>
    <m/>
    <m/>
    <s v="44"/>
    <s v="Tudu kool"/>
    <x v="44"/>
    <x v="1"/>
    <x v="44"/>
    <s v="12"/>
    <s v="Toetuseelarve"/>
    <x v="3"/>
    <x v="6"/>
    <m/>
    <m/>
    <n v="11003.736920777279"/>
  </r>
  <r>
    <x v="4"/>
    <n v="3719.2630792227205"/>
    <x v="4"/>
    <x v="2"/>
    <s v="Tööjõukuludega kaasnevad maksud ja sotsiaalkindlustusmaksed"/>
    <s v="2"/>
    <x v="1"/>
    <m/>
    <m/>
    <s v="44"/>
    <s v="Tudu kool"/>
    <x v="44"/>
    <x v="1"/>
    <x v="44"/>
    <s v="12"/>
    <s v="Toetuseelarve"/>
    <x v="3"/>
    <x v="6"/>
    <m/>
    <m/>
    <n v="3719.2630792227205"/>
  </r>
  <r>
    <x v="4"/>
    <n v="197040.35874439465"/>
    <x v="4"/>
    <x v="2"/>
    <s v="Tööjõukuludega kaasnevad maksud ja sotsiaalkindlustusmaksed"/>
    <s v="2"/>
    <x v="1"/>
    <s v=""/>
    <s v=""/>
    <s v="45"/>
    <s v="Vinni pajusti Gümnaasium"/>
    <x v="7"/>
    <x v="1"/>
    <x v="7"/>
    <s v="12"/>
    <s v="Toetuseelarve"/>
    <x v="3"/>
    <x v="6"/>
    <m/>
    <m/>
    <n v="197040.35874439465"/>
  </r>
  <r>
    <x v="963"/>
    <n v="582959.64125560538"/>
    <x v="3"/>
    <x v="2"/>
    <s v="Töötajate töötasud"/>
    <s v="2"/>
    <x v="1"/>
    <s v=""/>
    <s v=""/>
    <s v="45"/>
    <s v="Vinni pajusti Gümnaasium"/>
    <x v="7"/>
    <x v="1"/>
    <x v="7"/>
    <s v="12"/>
    <s v="Toetuseelarve"/>
    <x v="3"/>
    <x v="6"/>
    <m/>
    <m/>
    <n v="582959.64125560538"/>
  </r>
  <r>
    <x v="63"/>
    <n v="74025"/>
    <x v="16"/>
    <x v="3"/>
    <s v="Toiduained ja toitlustusteenused"/>
    <s v="2"/>
    <x v="1"/>
    <s v=""/>
    <s v=""/>
    <s v="45"/>
    <s v="Vinni pajusti Gümnaasium"/>
    <x v="7"/>
    <x v="1"/>
    <x v="7"/>
    <s v="12"/>
    <s v="Toetuseelarve"/>
    <x v="4"/>
    <x v="6"/>
    <m/>
    <m/>
    <n v="74025"/>
  </r>
  <r>
    <x v="964"/>
    <n v="7270"/>
    <x v="31"/>
    <x v="3"/>
    <s v="Koolituskulud (sh koolituslähetus)"/>
    <s v="2"/>
    <x v="1"/>
    <m/>
    <m/>
    <s v="45"/>
    <s v="Vinni pajusti Gümnaasium"/>
    <x v="7"/>
    <x v="1"/>
    <x v="7"/>
    <s v="12"/>
    <s v="Toetuseelarve"/>
    <x v="4"/>
    <x v="6"/>
    <m/>
    <m/>
    <n v="7270"/>
  </r>
  <r>
    <x v="965"/>
    <n v="24111"/>
    <x v="15"/>
    <x v="3"/>
    <s v="Õppevahendite ja koolituse kulud"/>
    <s v="2"/>
    <x v="1"/>
    <m/>
    <m/>
    <s v="45"/>
    <s v="Vinni pajusti Gümnaasium"/>
    <x v="7"/>
    <x v="1"/>
    <x v="7"/>
    <s v="12"/>
    <s v="Toetuseelarve"/>
    <x v="4"/>
    <x v="6"/>
    <m/>
    <m/>
    <n v="24111"/>
  </r>
  <r>
    <x v="968"/>
    <n v="47279.521674140502"/>
    <x v="3"/>
    <x v="2"/>
    <s v="Töötajate töötasud"/>
    <s v="2"/>
    <x v="1"/>
    <s v=""/>
    <s v=""/>
    <s v="45"/>
    <s v="Vinni pajusti Gümnaasium"/>
    <x v="7"/>
    <x v="1"/>
    <x v="7"/>
    <s v="12"/>
    <s v="Toetuseelarve"/>
    <x v="3"/>
    <x v="6"/>
    <m/>
    <m/>
    <n v="47279.521674140502"/>
  </r>
  <r>
    <x v="4"/>
    <n v="15980.478325859491"/>
    <x v="4"/>
    <x v="2"/>
    <s v="Tööjõukuludega kaasnevad maksud ja sotsiaalkindlustusmaksed"/>
    <s v="2"/>
    <x v="1"/>
    <s v=""/>
    <s v=""/>
    <s v="45"/>
    <s v="Vinni pajusti Gümnaasium"/>
    <x v="7"/>
    <x v="1"/>
    <x v="7"/>
    <s v="12"/>
    <s v="Toetuseelarve"/>
    <x v="3"/>
    <x v="6"/>
    <m/>
    <m/>
    <n v="15980.478325859491"/>
  </r>
  <r>
    <x v="969"/>
    <n v="161954"/>
    <x v="3"/>
    <x v="2"/>
    <s v="Töötajate töötasud"/>
    <s v="2"/>
    <x v="1"/>
    <s v=""/>
    <s v=""/>
    <s v="25"/>
    <s v="Haridusteenistus"/>
    <x v="35"/>
    <x v="1"/>
    <x v="35"/>
    <s v="12"/>
    <s v="Toetuseelarve"/>
    <x v="3"/>
    <x v="20"/>
    <m/>
    <m/>
    <n v="161954"/>
  </r>
  <r>
    <x v="970"/>
    <n v="187310.64"/>
    <x v="1"/>
    <x v="0"/>
    <s v="Hooned ja rajatised"/>
    <s v="4"/>
    <x v="0"/>
    <m/>
    <m/>
    <s v="215"/>
    <s v="Ehitusnõunik"/>
    <x v="40"/>
    <x v="1"/>
    <x v="40"/>
    <m/>
    <m/>
    <x v="1"/>
    <x v="6"/>
    <m/>
    <m/>
    <n v="187310.64"/>
  </r>
  <r>
    <x v="971"/>
    <n v="50968.800000000003"/>
    <x v="1"/>
    <x v="0"/>
    <s v="Hooned ja rajatised"/>
    <s v="4"/>
    <x v="0"/>
    <m/>
    <m/>
    <s v="215"/>
    <s v="Ehitusnõunik"/>
    <x v="21"/>
    <x v="0"/>
    <x v="21"/>
    <m/>
    <m/>
    <x v="1"/>
    <x v="14"/>
    <m/>
    <m/>
    <n v="50968.800000000003"/>
  </r>
  <r>
    <x v="972"/>
    <n v="49950.8"/>
    <x v="1"/>
    <x v="0"/>
    <s v="Hooned ja rajatised"/>
    <s v="4"/>
    <x v="0"/>
    <m/>
    <m/>
    <s v="215"/>
    <s v="Ehitusnõunik"/>
    <x v="6"/>
    <x v="2"/>
    <x v="6"/>
    <m/>
    <m/>
    <x v="1"/>
    <x v="5"/>
    <m/>
    <m/>
    <n v="49950.8"/>
  </r>
  <r>
    <x v="973"/>
    <n v="405"/>
    <x v="31"/>
    <x v="3"/>
    <s v="Koolituskulud (sh koolituslähetus)"/>
    <s v="2"/>
    <x v="1"/>
    <m/>
    <m/>
    <s v="33"/>
    <s v="Pajusti Lasteaed"/>
    <x v="37"/>
    <x v="1"/>
    <x v="37"/>
    <m/>
    <m/>
    <x v="4"/>
    <x v="1"/>
    <m/>
    <m/>
    <n v="405"/>
  </r>
  <r>
    <x v="973"/>
    <n v="180"/>
    <x v="31"/>
    <x v="3"/>
    <s v="Koolituskulud (sh koolituslähetus)"/>
    <s v="2"/>
    <x v="1"/>
    <m/>
    <m/>
    <s v="35"/>
    <s v="Ulvi Lasteaed"/>
    <x v="69"/>
    <x v="1"/>
    <x v="68"/>
    <m/>
    <m/>
    <x v="4"/>
    <x v="1"/>
    <m/>
    <m/>
    <n v="180"/>
  </r>
  <r>
    <x v="974"/>
    <n v="5000"/>
    <x v="29"/>
    <x v="3"/>
    <s v="Inventari majandamiskulud"/>
    <s v="2"/>
    <x v="1"/>
    <m/>
    <m/>
    <s v="51"/>
    <s v="Laekvere Raamatukogu"/>
    <x v="11"/>
    <x v="2"/>
    <x v="11"/>
    <m/>
    <m/>
    <x v="4"/>
    <x v="5"/>
    <m/>
    <m/>
    <n v="5000"/>
  </r>
  <r>
    <x v="975"/>
    <n v="9000"/>
    <x v="8"/>
    <x v="3"/>
    <s v="Kinnistute, hoonete ja ruumide majandamiskulud"/>
    <s v="2"/>
    <x v="1"/>
    <m/>
    <m/>
    <s v="2"/>
    <s v="Valla- ja linnavalitsus"/>
    <x v="17"/>
    <x v="5"/>
    <x v="17"/>
    <m/>
    <m/>
    <x v="4"/>
    <x v="12"/>
    <m/>
    <m/>
    <n v="9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grandTotalCaption="Kokku" updatedVersion="6" minRefreshableVersion="3" useAutoFormatting="1" itemPrintTitles="1" createdVersion="6" indent="0" outline="1" outlineData="1" multipleFieldFilters="0">
  <location ref="A7:B41" firstHeaderRow="1" firstDataRow="1" firstDataCol="1" rowPageCount="2" colPageCount="1"/>
  <pivotFields count="21">
    <pivotField axis="axisRow" showAll="0">
      <items count="1487">
        <item x="433"/>
        <item m="1" x="1444"/>
        <item m="1" x="1053"/>
        <item m="1" x="1481"/>
        <item m="1" x="1371"/>
        <item m="1" x="1254"/>
        <item m="1" x="1301"/>
        <item m="1" x="1399"/>
        <item x="299"/>
        <item x="339"/>
        <item x="629"/>
        <item m="1" x="1480"/>
        <item m="1" x="1284"/>
        <item m="1" x="994"/>
        <item m="1" x="1041"/>
        <item x="159"/>
        <item m="1" x="1458"/>
        <item m="1" x="1115"/>
        <item m="1" x="1218"/>
        <item m="1" x="1221"/>
        <item x="347"/>
        <item x="417"/>
        <item x="415"/>
        <item m="1" x="1297"/>
        <item x="277"/>
        <item x="510"/>
        <item x="282"/>
        <item x="476"/>
        <item m="1" x="1451"/>
        <item m="1" x="1476"/>
        <item m="1" x="1027"/>
        <item m="1" x="1303"/>
        <item m="1" x="1410"/>
        <item x="428"/>
        <item m="1" x="1108"/>
        <item m="1" x="1028"/>
        <item x="564"/>
        <item m="1" x="1183"/>
        <item x="230"/>
        <item m="1" x="1045"/>
        <item m="1" x="1407"/>
        <item m="1" x="1484"/>
        <item x="344"/>
        <item x="456"/>
        <item x="150"/>
        <item m="1" x="1054"/>
        <item m="1" x="1158"/>
        <item m="1" x="1173"/>
        <item x="632"/>
        <item m="1" x="1193"/>
        <item m="1" x="1402"/>
        <item m="1" x="1103"/>
        <item x="258"/>
        <item x="455"/>
        <item m="1" x="1109"/>
        <item x="457"/>
        <item x="538"/>
        <item m="1" x="1080"/>
        <item m="1" x="1479"/>
        <item m="1" x="1351"/>
        <item m="1" x="1003"/>
        <item m="1" x="1231"/>
        <item m="1" x="1207"/>
        <item m="1" x="1214"/>
        <item m="1" x="1465"/>
        <item m="1" x="1170"/>
        <item m="1" x="1119"/>
        <item m="1" x="1091"/>
        <item x="135"/>
        <item m="1" x="1031"/>
        <item m="1" x="1198"/>
        <item m="1" x="1269"/>
        <item x="485"/>
        <item m="1" x="1008"/>
        <item m="1" x="985"/>
        <item x="373"/>
        <item m="1" x="1138"/>
        <item x="102"/>
        <item m="1" x="1026"/>
        <item m="1" x="1030"/>
        <item x="101"/>
        <item m="1" x="1375"/>
        <item x="475"/>
        <item x="60"/>
        <item x="401"/>
        <item m="1" x="1077"/>
        <item m="1" x="987"/>
        <item x="6"/>
        <item m="1" x="1222"/>
        <item m="1" x="1140"/>
        <item m="1" x="1364"/>
        <item m="1" x="1432"/>
        <item m="1" x="1107"/>
        <item m="1" x="982"/>
        <item x="814"/>
        <item x="77"/>
        <item x="178"/>
        <item m="1" x="1092"/>
        <item x="710"/>
        <item x="609"/>
        <item m="1" x="1472"/>
        <item m="1" x="1083"/>
        <item x="309"/>
        <item x="578"/>
        <item x="217"/>
        <item x="624"/>
        <item m="1" x="1157"/>
        <item x="546"/>
        <item m="1" x="1101"/>
        <item m="1" x="1232"/>
        <item x="483"/>
        <item m="1" x="1144"/>
        <item m="1" x="1474"/>
        <item x="107"/>
        <item x="207"/>
        <item m="1" x="1106"/>
        <item x="685"/>
        <item m="1" x="1341"/>
        <item m="1" x="1159"/>
        <item x="693"/>
        <item x="484"/>
        <item x="194"/>
        <item m="1" x="1477"/>
        <item m="1" x="1241"/>
        <item x="416"/>
        <item x="766"/>
        <item x="29"/>
        <item m="1" x="976"/>
        <item x="192"/>
        <item x="424"/>
        <item m="1" x="1323"/>
        <item x="79"/>
        <item x="253"/>
        <item x="335"/>
        <item x="727"/>
        <item m="1" x="1448"/>
        <item x="183"/>
        <item m="1" x="1162"/>
        <item x="76"/>
        <item x="219"/>
        <item m="1" x="984"/>
        <item x="251"/>
        <item x="91"/>
        <item x="90"/>
        <item x="89"/>
        <item x="308"/>
        <item m="1" x="1179"/>
        <item m="1" x="1000"/>
        <item x="59"/>
        <item m="1" x="1104"/>
        <item m="1" x="1040"/>
        <item m="1" x="1060"/>
        <item m="1" x="1191"/>
        <item m="1" x="1367"/>
        <item x="38"/>
        <item x="16"/>
        <item x="507"/>
        <item m="1" x="1388"/>
        <item x="434"/>
        <item m="1" x="1265"/>
        <item x="133"/>
        <item x="533"/>
        <item m="1" x="1066"/>
        <item x="819"/>
        <item m="1" x="1460"/>
        <item m="1" x="1372"/>
        <item x="61"/>
        <item m="1" x="1154"/>
        <item x="26"/>
        <item x="390"/>
        <item x="163"/>
        <item x="418"/>
        <item x="419"/>
        <item x="481"/>
        <item x="787"/>
        <item x="479"/>
        <item x="789"/>
        <item x="414"/>
        <item x="164"/>
        <item x="388"/>
        <item x="478"/>
        <item m="1" x="1278"/>
        <item x="199"/>
        <item x="426"/>
        <item x="142"/>
        <item x="480"/>
        <item x="215"/>
        <item m="1" x="1414"/>
        <item x="788"/>
        <item x="216"/>
        <item x="316"/>
        <item x="66"/>
        <item x="27"/>
        <item x="214"/>
        <item x="141"/>
        <item x="482"/>
        <item x="790"/>
        <item m="1" x="1317"/>
        <item x="389"/>
        <item x="387"/>
        <item m="1" x="1094"/>
        <item x="830"/>
        <item x="257"/>
        <item m="1" x="1393"/>
        <item m="1" x="1174"/>
        <item x="13"/>
        <item x="274"/>
        <item x="343"/>
        <item x="340"/>
        <item x="269"/>
        <item m="1" x="1264"/>
        <item m="1" x="1358"/>
        <item m="1" x="1391"/>
        <item x="67"/>
        <item x="466"/>
        <item m="1" x="1209"/>
        <item m="1" x="1326"/>
        <item x="331"/>
        <item x="448"/>
        <item m="1" x="1047"/>
        <item m="1" x="1078"/>
        <item x="56"/>
        <item m="1" x="1335"/>
        <item x="408"/>
        <item x="959"/>
        <item x="83"/>
        <item x="82"/>
        <item x="712"/>
        <item m="1" x="1377"/>
        <item x="108"/>
        <item m="1" x="1294"/>
        <item x="514"/>
        <item m="1" x="1258"/>
        <item m="1" x="1151"/>
        <item x="260"/>
        <item m="1" x="980"/>
        <item m="1" x="1289"/>
        <item m="1" x="1328"/>
        <item m="1" x="1110"/>
        <item x="322"/>
        <item x="323"/>
        <item m="1" x="1260"/>
        <item x="477"/>
        <item x="203"/>
        <item x="261"/>
        <item m="1" x="1172"/>
        <item m="1" x="1342"/>
        <item m="1" x="1014"/>
        <item m="1" x="1133"/>
        <item x="64"/>
        <item m="1" x="1316"/>
        <item m="1" x="1253"/>
        <item m="1" x="1161"/>
        <item m="1" x="1200"/>
        <item m="1" x="1320"/>
        <item x="149"/>
        <item m="1" x="1420"/>
        <item x="508"/>
        <item x="259"/>
        <item m="1" x="1195"/>
        <item m="1" x="1149"/>
        <item x="505"/>
        <item m="1" x="1450"/>
        <item x="54"/>
        <item x="890"/>
        <item m="1" x="1276"/>
        <item m="1" x="1261"/>
        <item m="1" x="1266"/>
        <item x="28"/>
        <item m="1" x="1446"/>
        <item m="1" x="1120"/>
        <item x="518"/>
        <item x="515"/>
        <item x="504"/>
        <item x="489"/>
        <item x="314"/>
        <item m="1" x="1411"/>
        <item m="1" x="1401"/>
        <item m="1" x="1309"/>
        <item x="44"/>
        <item m="1" x="1457"/>
        <item m="1" x="1333"/>
        <item m="1" x="1166"/>
        <item x="579"/>
        <item x="197"/>
        <item m="1" x="1263"/>
        <item m="1" x="1223"/>
        <item m="1" x="1132"/>
        <item m="1" x="1400"/>
        <item m="1" x="1038"/>
        <item m="1" x="977"/>
        <item x="46"/>
        <item x="728"/>
        <item m="1" x="1424"/>
        <item x="250"/>
        <item m="1" x="1330"/>
        <item x="422"/>
        <item x="112"/>
        <item m="1" x="1051"/>
        <item x="633"/>
        <item x="812"/>
        <item x="169"/>
        <item x="799"/>
        <item x="600"/>
        <item m="1" x="1049"/>
        <item x="242"/>
        <item x="429"/>
        <item m="1" x="1344"/>
        <item m="1" x="1272"/>
        <item x="713"/>
        <item x="318"/>
        <item x="49"/>
        <item x="602"/>
        <item m="1" x="1373"/>
        <item m="1" x="1142"/>
        <item x="35"/>
        <item m="1" x="1428"/>
        <item m="1" x="1280"/>
        <item x="437"/>
        <item x="240"/>
        <item x="430"/>
        <item x="516"/>
        <item x="48"/>
        <item m="1" x="1483"/>
        <item x="5"/>
        <item x="442"/>
        <item x="116"/>
        <item m="1" x="1354"/>
        <item x="20"/>
        <item x="19"/>
        <item x="21"/>
        <item x="232"/>
        <item x="22"/>
        <item m="1" x="1069"/>
        <item m="1" x="1176"/>
        <item x="446"/>
        <item m="1" x="1422"/>
        <item m="1" x="1449"/>
        <item m="1" x="1306"/>
        <item x="333"/>
        <item x="334"/>
        <item m="1" x="1327"/>
        <item m="1" x="1360"/>
        <item x="43"/>
        <item x="131"/>
        <item m="1" x="1073"/>
        <item m="1" x="1052"/>
        <item m="1" x="1020"/>
        <item m="1" x="1455"/>
        <item m="1" x="1431"/>
        <item x="206"/>
        <item m="1" x="1270"/>
        <item m="1" x="1136"/>
        <item m="1" x="1293"/>
        <item x="443"/>
        <item m="1" x="1415"/>
        <item m="1" x="1143"/>
        <item m="1" x="1305"/>
        <item x="246"/>
        <item m="1" x="1359"/>
        <item m="1" x="1268"/>
        <item m="1" x="1168"/>
        <item m="1" x="1416"/>
        <item x="523"/>
        <item x="72"/>
        <item x="330"/>
        <item x="84"/>
        <item x="383"/>
        <item x="739"/>
        <item m="1" x="1405"/>
        <item x="784"/>
        <item m="1" x="1215"/>
        <item m="1" x="1324"/>
        <item x="180"/>
        <item x="42"/>
        <item m="1" x="1001"/>
        <item x="31"/>
        <item x="122"/>
        <item x="124"/>
        <item x="127"/>
        <item x="128"/>
        <item x="138"/>
        <item m="1" x="1182"/>
        <item m="1" x="1319"/>
        <item m="1" x="1386"/>
        <item m="1" x="1346"/>
        <item x="155"/>
        <item m="1" x="1338"/>
        <item x="451"/>
        <item x="467"/>
        <item m="1" x="1043"/>
        <item x="263"/>
        <item x="474"/>
        <item m="1" x="1095"/>
        <item m="1" x="1423"/>
        <item x="17"/>
        <item m="1" x="1009"/>
        <item x="74"/>
        <item x="41"/>
        <item m="1" x="1466"/>
        <item m="1" x="1150"/>
        <item x="198"/>
        <item m="1" x="1081"/>
        <item m="1" x="1011"/>
        <item x="327"/>
        <item x="326"/>
        <item m="1" x="1199"/>
        <item x="571"/>
        <item m="1" x="1100"/>
        <item m="1" x="1469"/>
        <item m="1" x="1076"/>
        <item m="1" x="995"/>
        <item x="690"/>
        <item x="820"/>
        <item m="1" x="1352"/>
        <item m="1" x="1017"/>
        <item m="1" x="1114"/>
        <item m="1" x="1417"/>
        <item m="1" x="1443"/>
        <item m="1" x="1228"/>
        <item m="1" x="1279"/>
        <item m="1" x="1436"/>
        <item m="1" x="1102"/>
        <item x="536"/>
        <item x="638"/>
        <item m="1" x="986"/>
        <item m="1" x="1212"/>
        <item x="427"/>
        <item m="1" x="1039"/>
        <item x="123"/>
        <item m="1" x="999"/>
        <item x="145"/>
        <item m="1" x="989"/>
        <item x="211"/>
        <item x="119"/>
        <item x="452"/>
        <item x="315"/>
        <item m="1" x="1311"/>
        <item x="471"/>
        <item m="1" x="1427"/>
        <item m="1" x="1252"/>
        <item m="1" x="1171"/>
        <item m="1" x="1058"/>
        <item m="1" x="1408"/>
        <item m="1" x="1036"/>
        <item m="1" x="1122"/>
        <item m="1" x="1190"/>
        <item m="1" x="978"/>
        <item x="221"/>
        <item x="73"/>
        <item m="1" x="998"/>
        <item x="126"/>
        <item m="1" x="1090"/>
        <item m="1" x="1164"/>
        <item m="1" x="1216"/>
        <item m="1" x="1313"/>
        <item m="1" x="1429"/>
        <item m="1" x="1250"/>
        <item m="1" x="1267"/>
        <item x="634"/>
        <item m="1" x="1331"/>
        <item m="1" x="1239"/>
        <item m="1" x="1018"/>
        <item m="1" x="1123"/>
        <item m="1" x="1010"/>
        <item x="393"/>
        <item x="283"/>
        <item m="1" x="1050"/>
        <item m="1" x="1378"/>
        <item m="1" x="1365"/>
        <item m="1" x="1148"/>
        <item m="1" x="1350"/>
        <item m="1" x="1325"/>
        <item m="1" x="1379"/>
        <item m="1" x="1426"/>
        <item x="181"/>
        <item x="522"/>
        <item m="1" x="1128"/>
        <item m="1" x="1243"/>
        <item x="527"/>
        <item x="341"/>
        <item x="964"/>
        <item x="963"/>
        <item x="969"/>
        <item x="965"/>
        <item m="1" x="991"/>
        <item x="3"/>
        <item m="1" x="1282"/>
        <item m="1" x="996"/>
        <item m="1" x="1113"/>
        <item x="591"/>
        <item x="278"/>
        <item x="187"/>
        <item x="25"/>
        <item x="394"/>
        <item m="1" x="1312"/>
        <item m="1" x="1249"/>
        <item m="1" x="1093"/>
        <item m="1" x="1235"/>
        <item m="1" x="1292"/>
        <item m="1" x="1129"/>
        <item m="1" x="1206"/>
        <item m="1" x="1274"/>
        <item m="1" x="1205"/>
        <item m="1" x="1404"/>
        <item m="1" x="1197"/>
        <item x="813"/>
        <item x="622"/>
        <item m="1" x="1035"/>
        <item x="51"/>
        <item x="464"/>
        <item m="1" x="1467"/>
        <item m="1" x="1459"/>
        <item x="626"/>
        <item m="1" x="1418"/>
        <item m="1" x="1056"/>
        <item x="618"/>
        <item m="1" x="1385"/>
        <item m="1" x="1345"/>
        <item m="1" x="981"/>
        <item x="208"/>
        <item m="1" x="1032"/>
        <item m="1" x="1283"/>
        <item m="1" x="1470"/>
        <item x="778"/>
        <item m="1" x="1456"/>
        <item x="146"/>
        <item m="1" x="1441"/>
        <item x="704"/>
        <item m="1" x="1339"/>
        <item m="1" x="1337"/>
        <item x="715"/>
        <item m="1" x="1362"/>
        <item x="53"/>
        <item x="9"/>
        <item x="151"/>
        <item x="179"/>
        <item m="1" x="1285"/>
        <item x="647"/>
        <item x="366"/>
        <item x="8"/>
        <item m="1" x="1202"/>
        <item m="1" x="1296"/>
        <item x="222"/>
        <item m="1" x="1155"/>
        <item x="400"/>
        <item x="130"/>
        <item m="1" x="1412"/>
        <item x="568"/>
        <item x="758"/>
        <item x="310"/>
        <item m="1" x="1044"/>
        <item m="1" x="1029"/>
        <item x="307"/>
        <item m="1" x="1237"/>
        <item x="264"/>
        <item x="281"/>
        <item m="1" x="1329"/>
        <item m="1" x="1438"/>
        <item x="134"/>
        <item m="1" x="1189"/>
        <item x="33"/>
        <item x="342"/>
        <item m="1" x="1188"/>
        <item x="372"/>
        <item m="1" x="1105"/>
        <item x="14"/>
        <item x="329"/>
        <item m="1" x="1322"/>
        <item m="1" x="1288"/>
        <item m="1" x="990"/>
        <item x="320"/>
        <item x="488"/>
        <item x="487"/>
        <item x="709"/>
        <item x="444"/>
        <item x="293"/>
        <item m="1" x="1025"/>
        <item m="1" x="1074"/>
        <item x="85"/>
        <item x="137"/>
        <item m="1" x="1433"/>
        <item m="1" x="1353"/>
        <item m="1" x="1238"/>
        <item x="312"/>
        <item m="1" x="1336"/>
        <item m="1" x="1012"/>
        <item m="1" x="1334"/>
        <item x="808"/>
        <item m="1" x="1088"/>
        <item x="497"/>
        <item x="256"/>
        <item m="1" x="1383"/>
        <item x="30"/>
        <item m="1" x="1368"/>
        <item m="1" x="1295"/>
        <item x="447"/>
        <item m="1" x="1262"/>
        <item x="722"/>
        <item m="1" x="1398"/>
        <item m="1" x="1453"/>
        <item m="1" x="1380"/>
        <item x="148"/>
        <item x="815"/>
        <item m="1" x="1229"/>
        <item m="1" x="1152"/>
        <item x="247"/>
        <item m="1" x="1471"/>
        <item x="635"/>
        <item m="1" x="1315"/>
        <item x="391"/>
        <item m="1" x="1347"/>
        <item m="1" x="1097"/>
        <item m="1" x="1075"/>
        <item m="1" x="1184"/>
        <item x="406"/>
        <item m="1" x="1112"/>
        <item m="1" x="1255"/>
        <item m="1" x="1234"/>
        <item m="1" x="1057"/>
        <item m="1" x="1406"/>
        <item x="509"/>
        <item m="1" x="1007"/>
        <item m="1" x="1194"/>
        <item m="1" x="1217"/>
        <item x="768"/>
        <item x="431"/>
        <item m="1" x="1349"/>
        <item x="34"/>
        <item x="829"/>
        <item m="1" x="1462"/>
        <item x="196"/>
        <item x="288"/>
        <item x="173"/>
        <item m="1" x="1248"/>
        <item m="1" x="1314"/>
        <item x="80"/>
        <item m="1" x="1245"/>
        <item m="1" x="1396"/>
        <item x="794"/>
        <item x="32"/>
        <item x="200"/>
        <item x="730"/>
        <item x="653"/>
        <item x="201"/>
        <item m="1" x="1356"/>
        <item x="202"/>
        <item m="1" x="1127"/>
        <item x="783"/>
        <item x="399"/>
        <item x="289"/>
        <item m="1" x="1145"/>
        <item x="743"/>
        <item m="1" x="1111"/>
        <item m="1" x="1167"/>
        <item x="601"/>
        <item m="1" x="1227"/>
        <item x="613"/>
        <item x="655"/>
        <item m="1" x="1186"/>
        <item m="1" x="1299"/>
        <item x="450"/>
        <item x="412"/>
        <item x="413"/>
        <item m="1" x="1271"/>
        <item x="875"/>
        <item m="1" x="1273"/>
        <item x="125"/>
        <item x="129"/>
        <item m="1" x="988"/>
        <item m="1" x="1310"/>
        <item x="24"/>
        <item x="458"/>
        <item x="537"/>
        <item m="1" x="1079"/>
        <item m="1" x="1187"/>
        <item x="714"/>
        <item m="1" x="1023"/>
        <item x="761"/>
        <item m="1" x="1308"/>
        <item m="1" x="1156"/>
        <item m="1" x="1357"/>
        <item x="592"/>
        <item x="473"/>
        <item x="317"/>
        <item m="1" x="1006"/>
        <item x="50"/>
        <item m="1" x="1473"/>
        <item m="1" x="1304"/>
        <item m="1" x="1059"/>
        <item x="562"/>
        <item m="1" x="1447"/>
        <item m="1" x="1220"/>
        <item x="405"/>
        <item m="1" x="992"/>
        <item m="1" x="1343"/>
        <item m="1" x="1387"/>
        <item x="311"/>
        <item x="324"/>
        <item m="1" x="1116"/>
        <item x="63"/>
        <item m="1" x="1085"/>
        <item m="1" x="1086"/>
        <item m="1" x="1389"/>
        <item m="1" x="1482"/>
        <item m="1" x="1208"/>
        <item m="1" x="1061"/>
        <item x="132"/>
        <item x="218"/>
        <item x="687"/>
        <item x="705"/>
        <item x="191"/>
        <item x="182"/>
        <item m="1" x="1259"/>
        <item m="1" x="1421"/>
        <item m="1" x="1374"/>
        <item x="249"/>
        <item m="1" x="1013"/>
        <item x="248"/>
        <item m="1" x="1146"/>
        <item m="1" x="1437"/>
        <item x="115"/>
        <item m="1" x="1021"/>
        <item x="496"/>
        <item x="143"/>
        <item m="1" x="1042"/>
        <item x="144"/>
        <item x="495"/>
        <item x="140"/>
        <item x="628"/>
        <item m="1" x="1439"/>
        <item x="556"/>
        <item x="117"/>
        <item m="1" x="979"/>
        <item m="1" x="1394"/>
        <item m="1" x="1302"/>
        <item x="577"/>
        <item x="306"/>
        <item x="120"/>
        <item m="1" x="1318"/>
        <item x="4"/>
        <item m="1" x="1084"/>
        <item m="1" x="1277"/>
        <item m="1" x="1070"/>
        <item m="1" x="1397"/>
        <item m="1" x="1290"/>
        <item m="1" x="1063"/>
        <item x="62"/>
        <item m="1" x="1445"/>
        <item m="1" x="1246"/>
        <item x="641"/>
        <item m="1" x="1147"/>
        <item m="1" x="1165"/>
        <item x="153"/>
        <item m="1" x="1131"/>
        <item x="152"/>
        <item x="154"/>
        <item m="1" x="1065"/>
        <item m="1" x="1022"/>
        <item m="1" x="1230"/>
        <item x="15"/>
        <item m="1" x="1118"/>
        <item x="872"/>
        <item m="1" x="1454"/>
        <item m="1" x="1370"/>
        <item x="121"/>
        <item m="1" x="1192"/>
        <item m="1" x="1055"/>
        <item m="1" x="1046"/>
        <item x="98"/>
        <item m="1" x="1037"/>
        <item x="338"/>
        <item x="385"/>
        <item x="104"/>
        <item x="106"/>
        <item x="105"/>
        <item m="1" x="1185"/>
        <item x="103"/>
        <item m="1" x="1087"/>
        <item m="1" x="1369"/>
        <item m="1" x="1307"/>
        <item m="1" x="1002"/>
        <item x="271"/>
        <item m="1" x="1390"/>
        <item m="1" x="1463"/>
        <item m="1" x="1366"/>
        <item m="1" x="1135"/>
        <item x="266"/>
        <item m="1" x="1153"/>
        <item x="36"/>
        <item x="65"/>
        <item x="276"/>
        <item x="708"/>
        <item x="172"/>
        <item x="177"/>
        <item m="1" x="1478"/>
        <item x="403"/>
        <item x="279"/>
        <item m="1" x="1442"/>
        <item x="280"/>
        <item x="7"/>
        <item x="168"/>
        <item x="190"/>
        <item m="1" x="1332"/>
        <item x="245"/>
        <item m="1" x="997"/>
        <item m="1" x="1244"/>
        <item m="1" x="1257"/>
        <item m="1" x="1134"/>
        <item m="1" x="1004"/>
        <item m="1" x="1395"/>
        <item m="1" x="1409"/>
        <item x="176"/>
        <item x="436"/>
        <item x="241"/>
        <item x="439"/>
        <item x="432"/>
        <item x="435"/>
        <item x="438"/>
        <item m="1" x="1005"/>
        <item x="243"/>
        <item x="244"/>
        <item x="285"/>
        <item x="359"/>
        <item m="1" x="1348"/>
        <item m="1" x="1024"/>
        <item m="1" x="1034"/>
        <item m="1" x="1435"/>
        <item x="449"/>
        <item m="1" x="1298"/>
        <item x="526"/>
        <item m="1" x="1139"/>
        <item m="1" x="1117"/>
        <item m="1" x="1180"/>
        <item m="1" x="1033"/>
        <item m="1" x="1275"/>
        <item m="1" x="1434"/>
        <item x="519"/>
        <item x="517"/>
        <item m="1" x="1177"/>
        <item x="731"/>
        <item m="1" x="1071"/>
        <item x="540"/>
        <item x="39"/>
        <item x="796"/>
        <item m="1" x="993"/>
        <item x="294"/>
        <item m="1" x="1392"/>
        <item m="1" x="1062"/>
        <item x="81"/>
        <item m="1" x="1287"/>
        <item x="711"/>
        <item m="1" x="1048"/>
        <item x="71"/>
        <item m="1" x="1201"/>
        <item m="1" x="1225"/>
        <item x="273"/>
        <item x="275"/>
        <item x="70"/>
        <item x="40"/>
        <item x="272"/>
        <item x="575"/>
        <item x="223"/>
        <item m="1" x="1175"/>
        <item x="785"/>
        <item m="1" x="1340"/>
        <item x="270"/>
        <item x="573"/>
        <item m="1" x="1019"/>
        <item x="267"/>
        <item m="1" x="1321"/>
        <item m="1" x="1204"/>
        <item x="570"/>
        <item m="1" x="1247"/>
        <item m="1" x="1211"/>
        <item m="1" x="1224"/>
        <item x="139"/>
        <item x="300"/>
        <item x="453"/>
        <item m="1" x="1163"/>
        <item m="1" x="1286"/>
        <item m="1" x="1384"/>
        <item x="858"/>
        <item m="1" x="1281"/>
        <item m="1" x="1475"/>
        <item m="1" x="1461"/>
        <item x="0"/>
        <item m="1" x="1233"/>
        <item m="1" x="1468"/>
        <item x="506"/>
        <item m="1" x="1440"/>
        <item m="1" x="1226"/>
        <item x="210"/>
        <item x="212"/>
        <item x="209"/>
        <item x="966"/>
        <item x="968"/>
        <item m="1" x="1124"/>
        <item m="1" x="1089"/>
        <item x="970"/>
        <item m="1" x="1196"/>
        <item m="1" x="1016"/>
        <item m="1" x="1210"/>
        <item m="1" x="1355"/>
        <item m="1" x="1240"/>
        <item m="1" x="1425"/>
        <item m="1" x="1099"/>
        <item x="18"/>
        <item m="1" x="1242"/>
        <item m="1" x="1291"/>
        <item m="1" x="1403"/>
        <item m="1" x="1121"/>
        <item m="1" x="1068"/>
        <item m="1" x="983"/>
        <item m="1" x="1213"/>
        <item m="1" x="1072"/>
        <item m="1" x="1361"/>
        <item m="1" x="1137"/>
        <item m="1" x="1181"/>
        <item m="1" x="1381"/>
        <item m="1" x="1096"/>
        <item m="1" x="1300"/>
        <item m="1" x="1485"/>
        <item m="1" x="1082"/>
        <item m="1" x="1251"/>
        <item x="530"/>
        <item m="1" x="1452"/>
        <item m="1" x="1141"/>
        <item x="1"/>
        <item x="2"/>
        <item x="10"/>
        <item x="11"/>
        <item x="12"/>
        <item x="23"/>
        <item x="45"/>
        <item x="47"/>
        <item x="52"/>
        <item x="55"/>
        <item x="57"/>
        <item x="58"/>
        <item x="69"/>
        <item x="78"/>
        <item x="86"/>
        <item x="87"/>
        <item x="88"/>
        <item x="92"/>
        <item x="93"/>
        <item x="94"/>
        <item x="95"/>
        <item x="96"/>
        <item x="109"/>
        <item x="110"/>
        <item x="111"/>
        <item x="113"/>
        <item x="114"/>
        <item x="118"/>
        <item x="136"/>
        <item x="147"/>
        <item x="156"/>
        <item x="157"/>
        <item x="158"/>
        <item x="160"/>
        <item x="161"/>
        <item x="162"/>
        <item x="165"/>
        <item x="166"/>
        <item x="167"/>
        <item x="170"/>
        <item x="171"/>
        <item x="174"/>
        <item x="175"/>
        <item x="184"/>
        <item x="185"/>
        <item x="186"/>
        <item x="188"/>
        <item x="189"/>
        <item x="193"/>
        <item x="195"/>
        <item x="204"/>
        <item x="205"/>
        <item x="213"/>
        <item x="220"/>
        <item x="224"/>
        <item x="225"/>
        <item x="226"/>
        <item x="227"/>
        <item x="228"/>
        <item x="229"/>
        <item x="231"/>
        <item x="233"/>
        <item x="234"/>
        <item x="235"/>
        <item x="236"/>
        <item x="237"/>
        <item x="238"/>
        <item x="239"/>
        <item x="254"/>
        <item x="255"/>
        <item x="262"/>
        <item x="265"/>
        <item x="268"/>
        <item x="284"/>
        <item x="286"/>
        <item x="287"/>
        <item x="290"/>
        <item x="291"/>
        <item x="292"/>
        <item x="295"/>
        <item x="296"/>
        <item x="297"/>
        <item x="298"/>
        <item x="301"/>
        <item x="302"/>
        <item x="303"/>
        <item x="304"/>
        <item x="305"/>
        <item x="313"/>
        <item x="319"/>
        <item x="321"/>
        <item x="325"/>
        <item x="328"/>
        <item m="1" x="1464"/>
        <item m="1" x="1382"/>
        <item m="1" x="1064"/>
        <item x="850"/>
        <item x="337"/>
        <item x="99"/>
        <item x="100"/>
        <item x="379"/>
        <item x="864"/>
        <item x="362"/>
        <item x="345"/>
        <item x="374"/>
        <item x="346"/>
        <item x="348"/>
        <item x="376"/>
        <item x="349"/>
        <item x="350"/>
        <item x="97"/>
        <item x="351"/>
        <item x="364"/>
        <item x="380"/>
        <item x="352"/>
        <item x="353"/>
        <item x="354"/>
        <item x="355"/>
        <item x="356"/>
        <item x="381"/>
        <item x="382"/>
        <item x="357"/>
        <item m="1" x="1169"/>
        <item x="370"/>
        <item x="365"/>
        <item x="377"/>
        <item x="358"/>
        <item x="371"/>
        <item x="360"/>
        <item x="384"/>
        <item x="367"/>
        <item x="368"/>
        <item x="386"/>
        <item x="369"/>
        <item x="786"/>
        <item x="252"/>
        <item x="398"/>
        <item x="407"/>
        <item x="420"/>
        <item x="421"/>
        <item x="423"/>
        <item x="425"/>
        <item x="440"/>
        <item x="441"/>
        <item x="445"/>
        <item x="459"/>
        <item x="460"/>
        <item x="461"/>
        <item x="462"/>
        <item x="463"/>
        <item x="465"/>
        <item x="468"/>
        <item x="469"/>
        <item x="470"/>
        <item x="472"/>
        <item x="486"/>
        <item x="490"/>
        <item x="491"/>
        <item x="492"/>
        <item x="493"/>
        <item x="494"/>
        <item x="499"/>
        <item x="500"/>
        <item m="1" x="1126"/>
        <item x="511"/>
        <item x="512"/>
        <item x="513"/>
        <item m="1" x="1125"/>
        <item x="528"/>
        <item x="529"/>
        <item x="531"/>
        <item x="532"/>
        <item m="1" x="1363"/>
        <item x="534"/>
        <item x="535"/>
        <item x="539"/>
        <item x="541"/>
        <item x="542"/>
        <item x="543"/>
        <item x="544"/>
        <item x="545"/>
        <item x="547"/>
        <item x="548"/>
        <item x="549"/>
        <item x="550"/>
        <item x="551"/>
        <item x="552"/>
        <item x="553"/>
        <item x="554"/>
        <item x="555"/>
        <item x="557"/>
        <item x="558"/>
        <item x="559"/>
        <item x="560"/>
        <item x="561"/>
        <item x="563"/>
        <item x="565"/>
        <item x="566"/>
        <item x="567"/>
        <item x="569"/>
        <item x="572"/>
        <item x="574"/>
        <item x="576"/>
        <item x="580"/>
        <item x="581"/>
        <item x="582"/>
        <item x="583"/>
        <item x="584"/>
        <item x="585"/>
        <item x="586"/>
        <item x="587"/>
        <item x="588"/>
        <item x="589"/>
        <item x="590"/>
        <item x="593"/>
        <item x="594"/>
        <item x="595"/>
        <item x="596"/>
        <item x="597"/>
        <item x="598"/>
        <item x="599"/>
        <item x="603"/>
        <item x="604"/>
        <item x="605"/>
        <item x="606"/>
        <item x="607"/>
        <item x="608"/>
        <item x="610"/>
        <item x="611"/>
        <item x="612"/>
        <item x="614"/>
        <item x="615"/>
        <item x="616"/>
        <item x="617"/>
        <item x="619"/>
        <item x="620"/>
        <item x="621"/>
        <item x="623"/>
        <item x="625"/>
        <item x="627"/>
        <item x="630"/>
        <item x="631"/>
        <item x="636"/>
        <item x="637"/>
        <item x="639"/>
        <item x="640"/>
        <item x="642"/>
        <item x="643"/>
        <item x="644"/>
        <item x="645"/>
        <item x="646"/>
        <item x="648"/>
        <item x="649"/>
        <item x="650"/>
        <item x="651"/>
        <item x="652"/>
        <item x="654"/>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6"/>
        <item x="688"/>
        <item x="689"/>
        <item x="691"/>
        <item x="692"/>
        <item x="694"/>
        <item x="695"/>
        <item x="696"/>
        <item x="697"/>
        <item x="698"/>
        <item x="699"/>
        <item x="700"/>
        <item x="701"/>
        <item x="702"/>
        <item x="703"/>
        <item x="706"/>
        <item x="707"/>
        <item x="716"/>
        <item x="717"/>
        <item x="718"/>
        <item x="719"/>
        <item x="720"/>
        <item x="721"/>
        <item x="723"/>
        <item x="724"/>
        <item x="725"/>
        <item x="726"/>
        <item x="851"/>
        <item x="732"/>
        <item x="733"/>
        <item x="734"/>
        <item x="735"/>
        <item x="736"/>
        <item x="737"/>
        <item x="738"/>
        <item x="740"/>
        <item x="741"/>
        <item x="742"/>
        <item x="744"/>
        <item x="745"/>
        <item x="746"/>
        <item x="747"/>
        <item x="748"/>
        <item x="749"/>
        <item x="750"/>
        <item x="751"/>
        <item x="752"/>
        <item x="753"/>
        <item x="754"/>
        <item x="755"/>
        <item x="756"/>
        <item x="757"/>
        <item x="759"/>
        <item x="760"/>
        <item x="791"/>
        <item x="792"/>
        <item x="782"/>
        <item x="773"/>
        <item x="774"/>
        <item x="775"/>
        <item x="776"/>
        <item x="777"/>
        <item x="779"/>
        <item x="780"/>
        <item x="781"/>
        <item x="770"/>
        <item x="771"/>
        <item x="772"/>
        <item x="769"/>
        <item x="767"/>
        <item x="763"/>
        <item x="764"/>
        <item x="765"/>
        <item x="410"/>
        <item x="411"/>
        <item x="762"/>
        <item x="402"/>
        <item x="404"/>
        <item x="793"/>
        <item x="795"/>
        <item x="797"/>
        <item x="798"/>
        <item x="800"/>
        <item x="801"/>
        <item x="802"/>
        <item x="803"/>
        <item x="804"/>
        <item x="805"/>
        <item x="806"/>
        <item x="807"/>
        <item x="809"/>
        <item x="810"/>
        <item x="811"/>
        <item x="816"/>
        <item x="817"/>
        <item x="821"/>
        <item x="822"/>
        <item x="823"/>
        <item x="824"/>
        <item x="825"/>
        <item x="826"/>
        <item x="827"/>
        <item x="828"/>
        <item x="831"/>
        <item x="832"/>
        <item x="833"/>
        <item x="834"/>
        <item x="524"/>
        <item x="520"/>
        <item x="521"/>
        <item x="525"/>
        <item m="1" x="1376"/>
        <item m="1" x="1160"/>
        <item x="332"/>
        <item m="1" x="1413"/>
        <item m="1" x="1236"/>
        <item m="1" x="1256"/>
        <item x="849"/>
        <item m="1" x="1015"/>
        <item m="1" x="1178"/>
        <item m="1" x="1067"/>
        <item m="1" x="1430"/>
        <item m="1" x="1219"/>
        <item m="1" x="1098"/>
        <item x="854"/>
        <item m="1" x="1203"/>
        <item m="1" x="1419"/>
        <item x="857"/>
        <item x="859"/>
        <item x="860"/>
        <item x="818"/>
        <item x="454"/>
        <item x="861"/>
        <item x="862"/>
        <item x="863"/>
        <item x="865"/>
        <item x="866"/>
        <item x="867"/>
        <item x="868"/>
        <item x="869"/>
        <item x="870"/>
        <item x="871"/>
        <item x="873"/>
        <item x="874"/>
        <item x="876"/>
        <item x="877"/>
        <item x="878"/>
        <item x="879"/>
        <item x="880"/>
        <item x="881"/>
        <item x="882"/>
        <item x="883"/>
        <item x="884"/>
        <item x="885"/>
        <item x="886"/>
        <item x="378"/>
        <item x="887"/>
        <item x="888"/>
        <item x="889"/>
        <item x="891"/>
        <item x="892"/>
        <item x="893"/>
        <item x="894"/>
        <item x="895"/>
        <item x="896"/>
        <item x="897"/>
        <item x="336"/>
        <item x="395"/>
        <item x="498"/>
        <item x="729"/>
        <item x="835"/>
        <item x="836"/>
        <item x="839"/>
        <item x="840"/>
        <item x="841"/>
        <item x="842"/>
        <item x="847"/>
        <item x="852"/>
        <item x="837"/>
        <item x="838"/>
        <item x="843"/>
        <item x="844"/>
        <item x="845"/>
        <item x="846"/>
        <item x="848"/>
        <item x="853"/>
        <item x="855"/>
        <item x="856"/>
        <item x="898"/>
        <item x="899"/>
        <item x="900"/>
        <item x="901"/>
        <item x="902"/>
        <item x="903"/>
        <item x="904"/>
        <item x="409"/>
        <item x="905"/>
        <item x="906"/>
        <item x="907"/>
        <item x="908"/>
        <item x="909"/>
        <item x="910"/>
        <item x="911"/>
        <item x="912"/>
        <item x="913"/>
        <item x="914"/>
        <item x="915"/>
        <item x="916"/>
        <item x="392"/>
        <item x="396"/>
        <item x="397"/>
        <item x="917"/>
        <item x="918"/>
        <item x="919"/>
        <item x="920"/>
        <item x="921"/>
        <item x="922"/>
        <item x="923"/>
        <item x="924"/>
        <item x="925"/>
        <item x="926"/>
        <item x="927"/>
        <item x="928"/>
        <item x="929"/>
        <item x="930"/>
        <item x="37"/>
        <item x="931"/>
        <item x="932"/>
        <item x="933"/>
        <item x="934"/>
        <item x="935"/>
        <item x="936"/>
        <item x="937"/>
        <item x="938"/>
        <item x="939"/>
        <item x="940"/>
        <item x="68"/>
        <item x="75"/>
        <item x="941"/>
        <item x="942"/>
        <item x="943"/>
        <item x="502"/>
        <item x="503"/>
        <item x="944"/>
        <item x="945"/>
        <item x="946"/>
        <item x="947"/>
        <item x="501"/>
        <item x="948"/>
        <item x="949"/>
        <item x="950"/>
        <item x="951"/>
        <item x="952"/>
        <item x="953"/>
        <item x="954"/>
        <item x="955"/>
        <item x="361"/>
        <item x="363"/>
        <item x="375"/>
        <item x="956"/>
        <item x="957"/>
        <item x="958"/>
        <item x="960"/>
        <item x="961"/>
        <item x="962"/>
        <item x="971"/>
        <item x="972"/>
        <item x="973"/>
        <item x="967"/>
        <item x="974"/>
        <item m="1" x="1130"/>
        <item x="975"/>
        <item t="default"/>
      </items>
    </pivotField>
    <pivotField dataField="1" showAll="0"/>
    <pivotField axis="axisPage" multipleItemSelectionAllowed="1" showAll="0">
      <items count="55">
        <item x="49"/>
        <item x="4"/>
        <item x="18"/>
        <item x="43"/>
        <item h="1" m="1" x="53"/>
        <item x="1"/>
        <item m="1" x="51"/>
        <item m="1" x="50"/>
        <item x="24"/>
        <item x="36"/>
        <item x="27"/>
        <item x="44"/>
        <item x="33"/>
        <item x="32"/>
        <item x="2"/>
        <item x="45"/>
        <item x="19"/>
        <item x="20"/>
        <item x="21"/>
        <item x="3"/>
        <item x="17"/>
        <item x="35"/>
        <item x="9"/>
        <item x="39"/>
        <item x="40"/>
        <item x="31"/>
        <item x="8"/>
        <item x="22"/>
        <item x="30"/>
        <item x="10"/>
        <item x="29"/>
        <item x="16"/>
        <item x="41"/>
        <item x="48"/>
        <item x="15"/>
        <item x="25"/>
        <item x="23"/>
        <item x="47"/>
        <item x="28"/>
        <item x="38"/>
        <item x="34"/>
        <item x="37"/>
        <item x="26"/>
        <item x="46"/>
        <item x="5"/>
        <item x="6"/>
        <item x="7"/>
        <item x="42"/>
        <item x="11"/>
        <item x="12"/>
        <item x="13"/>
        <item x="14"/>
        <item h="1" x="0"/>
        <item h="1" m="1" x="52"/>
        <item t="default"/>
      </items>
    </pivotField>
    <pivotField axis="axisPage" multipleItemSelectionAllowed="1" showAll="0">
      <items count="10">
        <item x="0"/>
        <item h="1" x="6"/>
        <item h="1" x="5"/>
        <item h="1" x="1"/>
        <item h="1" x="2"/>
        <item h="1" x="3"/>
        <item h="1" x="4"/>
        <item h="1" x="7"/>
        <item h="1" m="1" x="8"/>
        <item t="default"/>
      </items>
    </pivotField>
    <pivotField showAll="0"/>
    <pivotField showAll="0"/>
    <pivotField showAll="0"/>
    <pivotField showAll="0"/>
    <pivotField showAll="0"/>
    <pivotField showAll="0"/>
    <pivotField showAll="0"/>
    <pivotField showAll="0"/>
    <pivotField axis="axisRow" showAll="0">
      <items count="12">
        <item x="5"/>
        <item x="8"/>
        <item x="3"/>
        <item x="6"/>
        <item x="7"/>
        <item x="0"/>
        <item x="9"/>
        <item x="2"/>
        <item x="1"/>
        <item x="4"/>
        <item m="1" x="10"/>
        <item t="default"/>
      </items>
    </pivotField>
    <pivotField axis="axisRow" showAll="0">
      <items count="195">
        <item m="1" x="132"/>
        <item m="1" x="192"/>
        <item m="1" x="177"/>
        <item m="1" x="176"/>
        <item m="1" x="116"/>
        <item m="1" x="185"/>
        <item m="1" x="131"/>
        <item m="1" x="162"/>
        <item m="1" x="141"/>
        <item m="1" x="150"/>
        <item m="1" x="108"/>
        <item m="1" x="140"/>
        <item m="1" x="167"/>
        <item m="1" x="175"/>
        <item m="1" x="173"/>
        <item m="1" x="105"/>
        <item m="1" x="117"/>
        <item m="1" x="164"/>
        <item m="1" x="151"/>
        <item m="1" x="144"/>
        <item m="1" x="160"/>
        <item m="1" x="182"/>
        <item m="1" x="161"/>
        <item m="1" x="163"/>
        <item m="1" x="103"/>
        <item m="1" x="180"/>
        <item m="1" x="139"/>
        <item m="1" x="186"/>
        <item m="1" x="114"/>
        <item m="1" x="122"/>
        <item m="1" x="109"/>
        <item m="1" x="178"/>
        <item m="1" x="165"/>
        <item m="1" x="184"/>
        <item m="1" x="149"/>
        <item m="1" x="158"/>
        <item m="1" x="126"/>
        <item m="1" x="129"/>
        <item m="1" x="183"/>
        <item m="1" x="190"/>
        <item m="1" x="166"/>
        <item m="1" x="159"/>
        <item m="1" x="191"/>
        <item m="1" x="155"/>
        <item m="1" x="147"/>
        <item m="1" x="134"/>
        <item m="1" x="120"/>
        <item m="1" x="170"/>
        <item m="1" x="146"/>
        <item m="1" x="137"/>
        <item m="1" x="102"/>
        <item m="1" x="187"/>
        <item m="1" x="111"/>
        <item m="1" x="174"/>
        <item m="1" x="145"/>
        <item m="1" x="181"/>
        <item m="1" x="107"/>
        <item m="1" x="143"/>
        <item m="1" x="106"/>
        <item m="1" x="135"/>
        <item m="1" x="138"/>
        <item m="1" x="113"/>
        <item m="1" x="104"/>
        <item m="1" x="148"/>
        <item m="1" x="152"/>
        <item m="1" x="189"/>
        <item m="1" x="154"/>
        <item m="1" x="130"/>
        <item m="1" x="133"/>
        <item m="1" x="142"/>
        <item m="1" x="172"/>
        <item m="1" x="112"/>
        <item m="1" x="121"/>
        <item m="1" x="128"/>
        <item m="1" x="193"/>
        <item x="59"/>
        <item x="82"/>
        <item x="61"/>
        <item m="1" x="171"/>
        <item x="16"/>
        <item x="81"/>
        <item x="35"/>
        <item x="15"/>
        <item x="14"/>
        <item x="60"/>
        <item x="83"/>
        <item x="54"/>
        <item x="13"/>
        <item x="58"/>
        <item x="75"/>
        <item x="84"/>
        <item m="1" x="169"/>
        <item x="12"/>
        <item x="98"/>
        <item x="86"/>
        <item x="36"/>
        <item x="2"/>
        <item m="1" x="125"/>
        <item x="1"/>
        <item x="11"/>
        <item x="87"/>
        <item x="21"/>
        <item x="38"/>
        <item x="10"/>
        <item x="71"/>
        <item x="74"/>
        <item x="88"/>
        <item x="89"/>
        <item x="77"/>
        <item x="39"/>
        <item x="90"/>
        <item x="91"/>
        <item x="31"/>
        <item x="22"/>
        <item x="25"/>
        <item m="1" x="153"/>
        <item x="92"/>
        <item m="1" x="124"/>
        <item m="1" x="136"/>
        <item x="53"/>
        <item x="47"/>
        <item x="32"/>
        <item m="1" x="157"/>
        <item x="37"/>
        <item x="68"/>
        <item x="46"/>
        <item x="64"/>
        <item x="62"/>
        <item m="1" x="115"/>
        <item x="4"/>
        <item x="57"/>
        <item x="63"/>
        <item x="26"/>
        <item x="49"/>
        <item x="97"/>
        <item x="34"/>
        <item x="56"/>
        <item x="41"/>
        <item x="78"/>
        <item m="1" x="123"/>
        <item x="93"/>
        <item x="42"/>
        <item x="20"/>
        <item x="94"/>
        <item x="18"/>
        <item x="50"/>
        <item m="1" x="188"/>
        <item x="101"/>
        <item x="23"/>
        <item x="43"/>
        <item x="70"/>
        <item x="48"/>
        <item m="1" x="119"/>
        <item x="44"/>
        <item x="55"/>
        <item x="27"/>
        <item m="1" x="127"/>
        <item x="24"/>
        <item x="30"/>
        <item x="73"/>
        <item x="33"/>
        <item x="45"/>
        <item x="79"/>
        <item m="1" x="118"/>
        <item x="28"/>
        <item x="3"/>
        <item x="76"/>
        <item x="17"/>
        <item x="95"/>
        <item x="52"/>
        <item x="0"/>
        <item x="80"/>
        <item x="65"/>
        <item x="8"/>
        <item m="1" x="179"/>
        <item x="99"/>
        <item x="66"/>
        <item x="67"/>
        <item x="51"/>
        <item x="9"/>
        <item x="7"/>
        <item x="100"/>
        <item x="5"/>
        <item m="1" x="110"/>
        <item x="6"/>
        <item m="1" x="168"/>
        <item x="29"/>
        <item x="96"/>
        <item x="69"/>
        <item m="1" x="156"/>
        <item x="19"/>
        <item x="72"/>
        <item x="85"/>
        <item x="40"/>
        <item t="default"/>
      </items>
    </pivotField>
    <pivotField showAll="0"/>
    <pivotField showAll="0"/>
    <pivotField showAll="0"/>
    <pivotField showAll="0"/>
    <pivotField showAll="0"/>
    <pivotField showAll="0"/>
    <pivotField showAll="0"/>
  </pivotFields>
  <rowFields count="3">
    <field x="12"/>
    <field x="13"/>
    <field x="0"/>
  </rowFields>
  <rowItems count="34">
    <i>
      <x/>
    </i>
    <i r="1">
      <x v="167"/>
    </i>
    <i r="2">
      <x v="769"/>
    </i>
    <i r="2">
      <x v="1026"/>
    </i>
    <i r="2">
      <x v="1027"/>
    </i>
    <i r="1">
      <x v="192"/>
    </i>
    <i r="2">
      <x v="218"/>
    </i>
    <i>
      <x v="5"/>
    </i>
    <i r="1">
      <x v="101"/>
    </i>
    <i r="2">
      <x v="1479"/>
    </i>
    <i>
      <x v="7"/>
    </i>
    <i r="1">
      <x v="90"/>
    </i>
    <i r="2">
      <x v="335"/>
    </i>
    <i r="2">
      <x v="1072"/>
    </i>
    <i r="1">
      <x v="100"/>
    </i>
    <i r="2">
      <x v="1078"/>
    </i>
    <i r="1">
      <x v="182"/>
    </i>
    <i r="2">
      <x v="932"/>
    </i>
    <i r="1">
      <x v="184"/>
    </i>
    <i r="2">
      <x v="1480"/>
    </i>
    <i>
      <x v="8"/>
    </i>
    <i r="1">
      <x v="98"/>
    </i>
    <i r="2">
      <x v="928"/>
    </i>
    <i r="1">
      <x v="123"/>
    </i>
    <i r="2">
      <x v="1461"/>
    </i>
    <i r="1">
      <x v="135"/>
    </i>
    <i r="2">
      <x v="610"/>
    </i>
    <i r="1">
      <x v="180"/>
    </i>
    <i r="2">
      <x v="1071"/>
    </i>
    <i r="1">
      <x v="190"/>
    </i>
    <i r="2">
      <x v="951"/>
    </i>
    <i r="1">
      <x v="193"/>
    </i>
    <i r="2">
      <x v="899"/>
    </i>
    <i t="grand">
      <x/>
    </i>
  </rowItems>
  <colItems count="1">
    <i/>
  </colItems>
  <pageFields count="2">
    <pageField fld="3" hier="-1"/>
    <pageField fld="2" hier="-1"/>
  </pageFields>
  <dataFields count="1">
    <dataField name="Sum of Summa" fld="1" baseField="0" baseItem="220" numFmtId="3"/>
  </dataFields>
  <formats count="169">
    <format dxfId="206">
      <pivotArea type="all" dataOnly="0" outline="0" fieldPosition="0"/>
    </format>
    <format dxfId="205">
      <pivotArea outline="0" collapsedLevelsAreSubtotals="1" fieldPosition="0"/>
    </format>
    <format dxfId="204">
      <pivotArea field="12" type="button" dataOnly="0" labelOnly="1" outline="0" axis="axisRow" fieldPosition="0"/>
    </format>
    <format dxfId="203">
      <pivotArea dataOnly="0" labelOnly="1" outline="0" axis="axisValues" fieldPosition="0"/>
    </format>
    <format dxfId="202">
      <pivotArea dataOnly="0" labelOnly="1" fieldPosition="0">
        <references count="1">
          <reference field="12" count="7">
            <x v="0"/>
            <x v="3"/>
            <x v="4"/>
            <x v="5"/>
            <x v="7"/>
            <x v="8"/>
            <x v="9"/>
          </reference>
        </references>
      </pivotArea>
    </format>
    <format dxfId="201">
      <pivotArea dataOnly="0" labelOnly="1" grandRow="1" outline="0" fieldPosition="0"/>
    </format>
    <format dxfId="200">
      <pivotArea dataOnly="0" labelOnly="1" fieldPosition="0">
        <references count="2">
          <reference field="12" count="1" selected="0">
            <x v="0"/>
          </reference>
          <reference field="13" count="2">
            <x v="167"/>
            <x v="192"/>
          </reference>
        </references>
      </pivotArea>
    </format>
    <format dxfId="199">
      <pivotArea dataOnly="0" labelOnly="1" fieldPosition="0">
        <references count="2">
          <reference field="12" count="1" selected="0">
            <x v="3"/>
          </reference>
          <reference field="13" count="1">
            <x v="150"/>
          </reference>
        </references>
      </pivotArea>
    </format>
    <format dxfId="198">
      <pivotArea dataOnly="0" labelOnly="1" fieldPosition="0">
        <references count="2">
          <reference field="12" count="1" selected="0">
            <x v="4"/>
          </reference>
          <reference field="13" count="1">
            <x v="89"/>
          </reference>
        </references>
      </pivotArea>
    </format>
    <format dxfId="197">
      <pivotArea dataOnly="0" labelOnly="1" fieldPosition="0">
        <references count="2">
          <reference field="12" count="1" selected="0">
            <x v="5"/>
          </reference>
          <reference field="13" count="3">
            <x v="101"/>
            <x v="102"/>
            <x v="141"/>
          </reference>
        </references>
      </pivotArea>
    </format>
    <format dxfId="196">
      <pivotArea dataOnly="0" labelOnly="1" fieldPosition="0">
        <references count="2">
          <reference field="12" count="1" selected="0">
            <x v="7"/>
          </reference>
          <reference field="13" count="4">
            <x v="90"/>
            <x v="91"/>
            <x v="100"/>
            <x v="171"/>
          </reference>
        </references>
      </pivotArea>
    </format>
    <format dxfId="195">
      <pivotArea dataOnly="0" labelOnly="1" fieldPosition="0">
        <references count="2">
          <reference field="12" count="1" selected="0">
            <x v="8"/>
          </reference>
          <reference field="13" count="4">
            <x v="123"/>
            <x v="135"/>
            <x v="180"/>
            <x v="190"/>
          </reference>
        </references>
      </pivotArea>
    </format>
    <format dxfId="194">
      <pivotArea dataOnly="0" labelOnly="1" fieldPosition="0">
        <references count="2">
          <reference field="12" count="1" selected="0">
            <x v="9"/>
          </reference>
          <reference field="13" count="3">
            <x v="162"/>
            <x v="175"/>
            <x v="191"/>
          </reference>
        </references>
      </pivotArea>
    </format>
    <format dxfId="193">
      <pivotArea dataOnly="0" labelOnly="1" fieldPosition="0">
        <references count="3">
          <reference field="0" count="3">
            <x v="45"/>
            <x v="769"/>
            <x v="824"/>
          </reference>
          <reference field="12" count="1" selected="0">
            <x v="0"/>
          </reference>
          <reference field="13" count="1" selected="0">
            <x v="167"/>
          </reference>
        </references>
      </pivotArea>
    </format>
    <format dxfId="192">
      <pivotArea dataOnly="0" labelOnly="1" fieldPosition="0">
        <references count="3">
          <reference field="0" count="1">
            <x v="218"/>
          </reference>
          <reference field="12" count="1" selected="0">
            <x v="0"/>
          </reference>
          <reference field="13" count="1" selected="0">
            <x v="192"/>
          </reference>
        </references>
      </pivotArea>
    </format>
    <format dxfId="191">
      <pivotArea dataOnly="0" labelOnly="1" fieldPosition="0">
        <references count="3">
          <reference field="0" count="1">
            <x v="570"/>
          </reference>
          <reference field="12" count="1" selected="0">
            <x v="3"/>
          </reference>
          <reference field="13" count="1" selected="0">
            <x v="150"/>
          </reference>
        </references>
      </pivotArea>
    </format>
    <format dxfId="190">
      <pivotArea dataOnly="0" labelOnly="1" fieldPosition="0">
        <references count="3">
          <reference field="0" count="1">
            <x v="215"/>
          </reference>
          <reference field="12" count="1" selected="0">
            <x v="4"/>
          </reference>
          <reference field="13" count="1" selected="0">
            <x v="89"/>
          </reference>
        </references>
      </pivotArea>
    </format>
    <format dxfId="189">
      <pivotArea dataOnly="0" labelOnly="1" fieldPosition="0">
        <references count="3">
          <reference field="0" count="1">
            <x v="739"/>
          </reference>
          <reference field="12" count="1" selected="0">
            <x v="5"/>
          </reference>
          <reference field="13" count="1" selected="0">
            <x v="101"/>
          </reference>
        </references>
      </pivotArea>
    </format>
    <format dxfId="188">
      <pivotArea dataOnly="0" labelOnly="1" fieldPosition="0">
        <references count="3">
          <reference field="0" count="2">
            <x v="421"/>
            <x v="656"/>
          </reference>
          <reference field="12" count="1" selected="0">
            <x v="5"/>
          </reference>
          <reference field="13" count="1" selected="0">
            <x v="102"/>
          </reference>
        </references>
      </pivotArea>
    </format>
    <format dxfId="187">
      <pivotArea dataOnly="0" labelOnly="1" fieldPosition="0">
        <references count="3">
          <reference field="0" count="3">
            <x v="241"/>
            <x v="720"/>
            <x v="832"/>
          </reference>
          <reference field="12" count="1" selected="0">
            <x v="5"/>
          </reference>
          <reference field="13" count="1" selected="0">
            <x v="141"/>
          </reference>
        </references>
      </pivotArea>
    </format>
    <format dxfId="186">
      <pivotArea dataOnly="0" labelOnly="1" fieldPosition="0">
        <references count="3">
          <reference field="0" count="2">
            <x v="335"/>
            <x v="808"/>
          </reference>
          <reference field="12" count="1" selected="0">
            <x v="7"/>
          </reference>
          <reference field="13" count="1" selected="0">
            <x v="90"/>
          </reference>
        </references>
      </pivotArea>
    </format>
    <format dxfId="185">
      <pivotArea dataOnly="0" labelOnly="1" fieldPosition="0">
        <references count="3">
          <reference field="0" count="1">
            <x v="220"/>
          </reference>
          <reference field="12" count="1" selected="0">
            <x v="7"/>
          </reference>
          <reference field="13" count="1" selected="0">
            <x v="91"/>
          </reference>
        </references>
      </pivotArea>
    </format>
    <format dxfId="184">
      <pivotArea dataOnly="0" labelOnly="1" fieldPosition="0">
        <references count="3">
          <reference field="0" count="1">
            <x v="890"/>
          </reference>
          <reference field="12" count="1" selected="0">
            <x v="7"/>
          </reference>
          <reference field="13" count="1" selected="0">
            <x v="100"/>
          </reference>
        </references>
      </pivotArea>
    </format>
    <format dxfId="183">
      <pivotArea dataOnly="0" labelOnly="1" fieldPosition="0">
        <references count="3">
          <reference field="0" count="1">
            <x v="798"/>
          </reference>
          <reference field="12" count="1" selected="0">
            <x v="7"/>
          </reference>
          <reference field="13" count="1" selected="0">
            <x v="171"/>
          </reference>
        </references>
      </pivotArea>
    </format>
    <format dxfId="182">
      <pivotArea dataOnly="0" labelOnly="1" fieldPosition="0">
        <references count="3">
          <reference field="0" count="1">
            <x v="347"/>
          </reference>
          <reference field="12" count="1" selected="0">
            <x v="8"/>
          </reference>
          <reference field="13" count="1" selected="0">
            <x v="123"/>
          </reference>
        </references>
      </pivotArea>
    </format>
    <format dxfId="181">
      <pivotArea dataOnly="0" labelOnly="1" fieldPosition="0">
        <references count="3">
          <reference field="0" count="3">
            <x v="609"/>
            <x v="610"/>
            <x v="611"/>
          </reference>
          <reference field="12" count="1" selected="0">
            <x v="8"/>
          </reference>
          <reference field="13" count="1" selected="0">
            <x v="135"/>
          </reference>
        </references>
      </pivotArea>
    </format>
    <format dxfId="180">
      <pivotArea dataOnly="0" labelOnly="1" fieldPosition="0">
        <references count="3">
          <reference field="0" count="2">
            <x v="825"/>
            <x v="826"/>
          </reference>
          <reference field="12" count="1" selected="0">
            <x v="8"/>
          </reference>
          <reference field="13" count="1" selected="0">
            <x v="180"/>
          </reference>
        </references>
      </pivotArea>
    </format>
    <format dxfId="179">
      <pivotArea dataOnly="0" labelOnly="1" fieldPosition="0">
        <references count="3">
          <reference field="0" count="1">
            <x v="346"/>
          </reference>
          <reference field="12" count="1" selected="0">
            <x v="8"/>
          </reference>
          <reference field="13" count="1" selected="0">
            <x v="190"/>
          </reference>
        </references>
      </pivotArea>
    </format>
    <format dxfId="178">
      <pivotArea dataOnly="0" labelOnly="1" fieldPosition="0">
        <references count="3">
          <reference field="0" count="2">
            <x v="757"/>
            <x v="758"/>
          </reference>
          <reference field="12" count="1" selected="0">
            <x v="9"/>
          </reference>
          <reference field="13" count="1" selected="0">
            <x v="162"/>
          </reference>
        </references>
      </pivotArea>
    </format>
    <format dxfId="177">
      <pivotArea dataOnly="0" labelOnly="1" fieldPosition="0">
        <references count="3">
          <reference field="0" count="1">
            <x v="810"/>
          </reference>
          <reference field="12" count="1" selected="0">
            <x v="9"/>
          </reference>
          <reference field="13" count="1" selected="0">
            <x v="175"/>
          </reference>
        </references>
      </pivotArea>
    </format>
    <format dxfId="176">
      <pivotArea dataOnly="0" labelOnly="1" fieldPosition="0">
        <references count="3">
          <reference field="0" count="1">
            <x v="759"/>
          </reference>
          <reference field="12" count="1" selected="0">
            <x v="9"/>
          </reference>
          <reference field="13" count="1" selected="0">
            <x v="191"/>
          </reference>
        </references>
      </pivotArea>
    </format>
    <format dxfId="175">
      <pivotArea dataOnly="0" labelOnly="1" outline="0" axis="axisValues" fieldPosition="0"/>
    </format>
    <format dxfId="174">
      <pivotArea type="all" dataOnly="0" outline="0" fieldPosition="0"/>
    </format>
    <format dxfId="173">
      <pivotArea outline="0" collapsedLevelsAreSubtotals="1" fieldPosition="0"/>
    </format>
    <format dxfId="172">
      <pivotArea field="12" type="button" dataOnly="0" labelOnly="1" outline="0" axis="axisRow" fieldPosition="0"/>
    </format>
    <format dxfId="171">
      <pivotArea dataOnly="0" labelOnly="1" outline="0" axis="axisValues" fieldPosition="0"/>
    </format>
    <format dxfId="170">
      <pivotArea dataOnly="0" labelOnly="1" fieldPosition="0">
        <references count="1">
          <reference field="12" count="7">
            <x v="0"/>
            <x v="3"/>
            <x v="4"/>
            <x v="5"/>
            <x v="7"/>
            <x v="8"/>
            <x v="9"/>
          </reference>
        </references>
      </pivotArea>
    </format>
    <format dxfId="169">
      <pivotArea dataOnly="0" labelOnly="1" grandRow="1" outline="0" fieldPosition="0"/>
    </format>
    <format dxfId="168">
      <pivotArea dataOnly="0" labelOnly="1" fieldPosition="0">
        <references count="2">
          <reference field="12" count="1" selected="0">
            <x v="0"/>
          </reference>
          <reference field="13" count="2">
            <x v="167"/>
            <x v="192"/>
          </reference>
        </references>
      </pivotArea>
    </format>
    <format dxfId="167">
      <pivotArea dataOnly="0" labelOnly="1" fieldPosition="0">
        <references count="2">
          <reference field="12" count="1" selected="0">
            <x v="3"/>
          </reference>
          <reference field="13" count="1">
            <x v="150"/>
          </reference>
        </references>
      </pivotArea>
    </format>
    <format dxfId="166">
      <pivotArea dataOnly="0" labelOnly="1" fieldPosition="0">
        <references count="2">
          <reference field="12" count="1" selected="0">
            <x v="4"/>
          </reference>
          <reference field="13" count="1">
            <x v="89"/>
          </reference>
        </references>
      </pivotArea>
    </format>
    <format dxfId="165">
      <pivotArea dataOnly="0" labelOnly="1" fieldPosition="0">
        <references count="2">
          <reference field="12" count="1" selected="0">
            <x v="5"/>
          </reference>
          <reference field="13" count="3">
            <x v="101"/>
            <x v="102"/>
            <x v="141"/>
          </reference>
        </references>
      </pivotArea>
    </format>
    <format dxfId="164">
      <pivotArea dataOnly="0" labelOnly="1" fieldPosition="0">
        <references count="2">
          <reference field="12" count="1" selected="0">
            <x v="7"/>
          </reference>
          <reference field="13" count="4">
            <x v="90"/>
            <x v="91"/>
            <x v="100"/>
            <x v="171"/>
          </reference>
        </references>
      </pivotArea>
    </format>
    <format dxfId="163">
      <pivotArea dataOnly="0" labelOnly="1" fieldPosition="0">
        <references count="2">
          <reference field="12" count="1" selected="0">
            <x v="8"/>
          </reference>
          <reference field="13" count="4">
            <x v="123"/>
            <x v="135"/>
            <x v="180"/>
            <x v="190"/>
          </reference>
        </references>
      </pivotArea>
    </format>
    <format dxfId="162">
      <pivotArea dataOnly="0" labelOnly="1" fieldPosition="0">
        <references count="2">
          <reference field="12" count="1" selected="0">
            <x v="9"/>
          </reference>
          <reference field="13" count="3">
            <x v="162"/>
            <x v="175"/>
            <x v="191"/>
          </reference>
        </references>
      </pivotArea>
    </format>
    <format dxfId="161">
      <pivotArea dataOnly="0" labelOnly="1" fieldPosition="0">
        <references count="3">
          <reference field="0" count="3">
            <x v="45"/>
            <x v="769"/>
            <x v="824"/>
          </reference>
          <reference field="12" count="1" selected="0">
            <x v="0"/>
          </reference>
          <reference field="13" count="1" selected="0">
            <x v="167"/>
          </reference>
        </references>
      </pivotArea>
    </format>
    <format dxfId="160">
      <pivotArea dataOnly="0" labelOnly="1" fieldPosition="0">
        <references count="3">
          <reference field="0" count="1">
            <x v="218"/>
          </reference>
          <reference field="12" count="1" selected="0">
            <x v="0"/>
          </reference>
          <reference field="13" count="1" selected="0">
            <x v="192"/>
          </reference>
        </references>
      </pivotArea>
    </format>
    <format dxfId="159">
      <pivotArea dataOnly="0" labelOnly="1" fieldPosition="0">
        <references count="3">
          <reference field="0" count="1">
            <x v="570"/>
          </reference>
          <reference field="12" count="1" selected="0">
            <x v="3"/>
          </reference>
          <reference field="13" count="1" selected="0">
            <x v="150"/>
          </reference>
        </references>
      </pivotArea>
    </format>
    <format dxfId="158">
      <pivotArea dataOnly="0" labelOnly="1" fieldPosition="0">
        <references count="3">
          <reference field="0" count="1">
            <x v="215"/>
          </reference>
          <reference field="12" count="1" selected="0">
            <x v="4"/>
          </reference>
          <reference field="13" count="1" selected="0">
            <x v="89"/>
          </reference>
        </references>
      </pivotArea>
    </format>
    <format dxfId="157">
      <pivotArea dataOnly="0" labelOnly="1" fieldPosition="0">
        <references count="3">
          <reference field="0" count="1">
            <x v="739"/>
          </reference>
          <reference field="12" count="1" selected="0">
            <x v="5"/>
          </reference>
          <reference field="13" count="1" selected="0">
            <x v="101"/>
          </reference>
        </references>
      </pivotArea>
    </format>
    <format dxfId="156">
      <pivotArea dataOnly="0" labelOnly="1" fieldPosition="0">
        <references count="3">
          <reference field="0" count="2">
            <x v="421"/>
            <x v="656"/>
          </reference>
          <reference field="12" count="1" selected="0">
            <x v="5"/>
          </reference>
          <reference field="13" count="1" selected="0">
            <x v="102"/>
          </reference>
        </references>
      </pivotArea>
    </format>
    <format dxfId="155">
      <pivotArea dataOnly="0" labelOnly="1" fieldPosition="0">
        <references count="3">
          <reference field="0" count="3">
            <x v="241"/>
            <x v="720"/>
            <x v="832"/>
          </reference>
          <reference field="12" count="1" selected="0">
            <x v="5"/>
          </reference>
          <reference field="13" count="1" selected="0">
            <x v="141"/>
          </reference>
        </references>
      </pivotArea>
    </format>
    <format dxfId="154">
      <pivotArea dataOnly="0" labelOnly="1" fieldPosition="0">
        <references count="3">
          <reference field="0" count="2">
            <x v="335"/>
            <x v="808"/>
          </reference>
          <reference field="12" count="1" selected="0">
            <x v="7"/>
          </reference>
          <reference field="13" count="1" selected="0">
            <x v="90"/>
          </reference>
        </references>
      </pivotArea>
    </format>
    <format dxfId="153">
      <pivotArea dataOnly="0" labelOnly="1" fieldPosition="0">
        <references count="3">
          <reference field="0" count="1">
            <x v="220"/>
          </reference>
          <reference field="12" count="1" selected="0">
            <x v="7"/>
          </reference>
          <reference field="13" count="1" selected="0">
            <x v="91"/>
          </reference>
        </references>
      </pivotArea>
    </format>
    <format dxfId="152">
      <pivotArea dataOnly="0" labelOnly="1" fieldPosition="0">
        <references count="3">
          <reference field="0" count="1">
            <x v="890"/>
          </reference>
          <reference field="12" count="1" selected="0">
            <x v="7"/>
          </reference>
          <reference field="13" count="1" selected="0">
            <x v="100"/>
          </reference>
        </references>
      </pivotArea>
    </format>
    <format dxfId="151">
      <pivotArea dataOnly="0" labelOnly="1" fieldPosition="0">
        <references count="3">
          <reference field="0" count="1">
            <x v="798"/>
          </reference>
          <reference field="12" count="1" selected="0">
            <x v="7"/>
          </reference>
          <reference field="13" count="1" selected="0">
            <x v="171"/>
          </reference>
        </references>
      </pivotArea>
    </format>
    <format dxfId="150">
      <pivotArea dataOnly="0" labelOnly="1" fieldPosition="0">
        <references count="3">
          <reference field="0" count="1">
            <x v="347"/>
          </reference>
          <reference field="12" count="1" selected="0">
            <x v="8"/>
          </reference>
          <reference field="13" count="1" selected="0">
            <x v="123"/>
          </reference>
        </references>
      </pivotArea>
    </format>
    <format dxfId="149">
      <pivotArea dataOnly="0" labelOnly="1" fieldPosition="0">
        <references count="3">
          <reference field="0" count="3">
            <x v="609"/>
            <x v="610"/>
            <x v="611"/>
          </reference>
          <reference field="12" count="1" selected="0">
            <x v="8"/>
          </reference>
          <reference field="13" count="1" selected="0">
            <x v="135"/>
          </reference>
        </references>
      </pivotArea>
    </format>
    <format dxfId="148">
      <pivotArea dataOnly="0" labelOnly="1" fieldPosition="0">
        <references count="3">
          <reference field="0" count="2">
            <x v="825"/>
            <x v="826"/>
          </reference>
          <reference field="12" count="1" selected="0">
            <x v="8"/>
          </reference>
          <reference field="13" count="1" selected="0">
            <x v="180"/>
          </reference>
        </references>
      </pivotArea>
    </format>
    <format dxfId="147">
      <pivotArea dataOnly="0" labelOnly="1" fieldPosition="0">
        <references count="3">
          <reference field="0" count="1">
            <x v="346"/>
          </reference>
          <reference field="12" count="1" selected="0">
            <x v="8"/>
          </reference>
          <reference field="13" count="1" selected="0">
            <x v="190"/>
          </reference>
        </references>
      </pivotArea>
    </format>
    <format dxfId="146">
      <pivotArea dataOnly="0" labelOnly="1" fieldPosition="0">
        <references count="3">
          <reference field="0" count="2">
            <x v="757"/>
            <x v="758"/>
          </reference>
          <reference field="12" count="1" selected="0">
            <x v="9"/>
          </reference>
          <reference field="13" count="1" selected="0">
            <x v="162"/>
          </reference>
        </references>
      </pivotArea>
    </format>
    <format dxfId="145">
      <pivotArea dataOnly="0" labelOnly="1" fieldPosition="0">
        <references count="3">
          <reference field="0" count="1">
            <x v="810"/>
          </reference>
          <reference field="12" count="1" selected="0">
            <x v="9"/>
          </reference>
          <reference field="13" count="1" selected="0">
            <x v="175"/>
          </reference>
        </references>
      </pivotArea>
    </format>
    <format dxfId="144">
      <pivotArea dataOnly="0" labelOnly="1" fieldPosition="0">
        <references count="3">
          <reference field="0" count="1">
            <x v="759"/>
          </reference>
          <reference field="12" count="1" selected="0">
            <x v="9"/>
          </reference>
          <reference field="13" count="1" selected="0">
            <x v="191"/>
          </reference>
        </references>
      </pivotArea>
    </format>
    <format dxfId="143">
      <pivotArea dataOnly="0" labelOnly="1" outline="0" axis="axisValues" fieldPosition="0"/>
    </format>
    <format dxfId="142">
      <pivotArea type="all" dataOnly="0" outline="0" fieldPosition="0"/>
    </format>
    <format dxfId="141">
      <pivotArea outline="0" collapsedLevelsAreSubtotals="1" fieldPosition="0"/>
    </format>
    <format dxfId="140">
      <pivotArea field="12" type="button" dataOnly="0" labelOnly="1" outline="0" axis="axisRow" fieldPosition="0"/>
    </format>
    <format dxfId="139">
      <pivotArea dataOnly="0" labelOnly="1" outline="0" axis="axisValues" fieldPosition="0"/>
    </format>
    <format dxfId="138">
      <pivotArea dataOnly="0" labelOnly="1" fieldPosition="0">
        <references count="1">
          <reference field="12" count="7">
            <x v="0"/>
            <x v="3"/>
            <x v="4"/>
            <x v="5"/>
            <x v="7"/>
            <x v="8"/>
            <x v="9"/>
          </reference>
        </references>
      </pivotArea>
    </format>
    <format dxfId="137">
      <pivotArea dataOnly="0" labelOnly="1" grandRow="1" outline="0" fieldPosition="0"/>
    </format>
    <format dxfId="136">
      <pivotArea dataOnly="0" labelOnly="1" fieldPosition="0">
        <references count="2">
          <reference field="12" count="1" selected="0">
            <x v="0"/>
          </reference>
          <reference field="13" count="2">
            <x v="167"/>
            <x v="192"/>
          </reference>
        </references>
      </pivotArea>
    </format>
    <format dxfId="135">
      <pivotArea dataOnly="0" labelOnly="1" fieldPosition="0">
        <references count="2">
          <reference field="12" count="1" selected="0">
            <x v="3"/>
          </reference>
          <reference field="13" count="1">
            <x v="150"/>
          </reference>
        </references>
      </pivotArea>
    </format>
    <format dxfId="134">
      <pivotArea dataOnly="0" labelOnly="1" fieldPosition="0">
        <references count="2">
          <reference field="12" count="1" selected="0">
            <x v="4"/>
          </reference>
          <reference field="13" count="1">
            <x v="89"/>
          </reference>
        </references>
      </pivotArea>
    </format>
    <format dxfId="133">
      <pivotArea dataOnly="0" labelOnly="1" fieldPosition="0">
        <references count="2">
          <reference field="12" count="1" selected="0">
            <x v="5"/>
          </reference>
          <reference field="13" count="3">
            <x v="101"/>
            <x v="102"/>
            <x v="141"/>
          </reference>
        </references>
      </pivotArea>
    </format>
    <format dxfId="132">
      <pivotArea dataOnly="0" labelOnly="1" fieldPosition="0">
        <references count="2">
          <reference field="12" count="1" selected="0">
            <x v="7"/>
          </reference>
          <reference field="13" count="4">
            <x v="90"/>
            <x v="91"/>
            <x v="100"/>
            <x v="171"/>
          </reference>
        </references>
      </pivotArea>
    </format>
    <format dxfId="131">
      <pivotArea dataOnly="0" labelOnly="1" fieldPosition="0">
        <references count="2">
          <reference field="12" count="1" selected="0">
            <x v="8"/>
          </reference>
          <reference field="13" count="4">
            <x v="123"/>
            <x v="135"/>
            <x v="180"/>
            <x v="190"/>
          </reference>
        </references>
      </pivotArea>
    </format>
    <format dxfId="130">
      <pivotArea dataOnly="0" labelOnly="1" fieldPosition="0">
        <references count="2">
          <reference field="12" count="1" selected="0">
            <x v="9"/>
          </reference>
          <reference field="13" count="3">
            <x v="162"/>
            <x v="175"/>
            <x v="191"/>
          </reference>
        </references>
      </pivotArea>
    </format>
    <format dxfId="129">
      <pivotArea dataOnly="0" labelOnly="1" fieldPosition="0">
        <references count="3">
          <reference field="0" count="3">
            <x v="45"/>
            <x v="769"/>
            <x v="824"/>
          </reference>
          <reference field="12" count="1" selected="0">
            <x v="0"/>
          </reference>
          <reference field="13" count="1" selected="0">
            <x v="167"/>
          </reference>
        </references>
      </pivotArea>
    </format>
    <format dxfId="128">
      <pivotArea dataOnly="0" labelOnly="1" fieldPosition="0">
        <references count="3">
          <reference field="0" count="1">
            <x v="218"/>
          </reference>
          <reference field="12" count="1" selected="0">
            <x v="0"/>
          </reference>
          <reference field="13" count="1" selected="0">
            <x v="192"/>
          </reference>
        </references>
      </pivotArea>
    </format>
    <format dxfId="127">
      <pivotArea dataOnly="0" labelOnly="1" fieldPosition="0">
        <references count="3">
          <reference field="0" count="1">
            <x v="570"/>
          </reference>
          <reference field="12" count="1" selected="0">
            <x v="3"/>
          </reference>
          <reference field="13" count="1" selected="0">
            <x v="150"/>
          </reference>
        </references>
      </pivotArea>
    </format>
    <format dxfId="126">
      <pivotArea dataOnly="0" labelOnly="1" fieldPosition="0">
        <references count="3">
          <reference field="0" count="1">
            <x v="215"/>
          </reference>
          <reference field="12" count="1" selected="0">
            <x v="4"/>
          </reference>
          <reference field="13" count="1" selected="0">
            <x v="89"/>
          </reference>
        </references>
      </pivotArea>
    </format>
    <format dxfId="125">
      <pivotArea dataOnly="0" labelOnly="1" fieldPosition="0">
        <references count="3">
          <reference field="0" count="1">
            <x v="739"/>
          </reference>
          <reference field="12" count="1" selected="0">
            <x v="5"/>
          </reference>
          <reference field="13" count="1" selected="0">
            <x v="101"/>
          </reference>
        </references>
      </pivotArea>
    </format>
    <format dxfId="124">
      <pivotArea dataOnly="0" labelOnly="1" fieldPosition="0">
        <references count="3">
          <reference field="0" count="2">
            <x v="421"/>
            <x v="656"/>
          </reference>
          <reference field="12" count="1" selected="0">
            <x v="5"/>
          </reference>
          <reference field="13" count="1" selected="0">
            <x v="102"/>
          </reference>
        </references>
      </pivotArea>
    </format>
    <format dxfId="123">
      <pivotArea dataOnly="0" labelOnly="1" fieldPosition="0">
        <references count="3">
          <reference field="0" count="3">
            <x v="241"/>
            <x v="720"/>
            <x v="832"/>
          </reference>
          <reference field="12" count="1" selected="0">
            <x v="5"/>
          </reference>
          <reference field="13" count="1" selected="0">
            <x v="141"/>
          </reference>
        </references>
      </pivotArea>
    </format>
    <format dxfId="122">
      <pivotArea dataOnly="0" labelOnly="1" fieldPosition="0">
        <references count="3">
          <reference field="0" count="2">
            <x v="335"/>
            <x v="808"/>
          </reference>
          <reference field="12" count="1" selected="0">
            <x v="7"/>
          </reference>
          <reference field="13" count="1" selected="0">
            <x v="90"/>
          </reference>
        </references>
      </pivotArea>
    </format>
    <format dxfId="121">
      <pivotArea dataOnly="0" labelOnly="1" fieldPosition="0">
        <references count="3">
          <reference field="0" count="1">
            <x v="220"/>
          </reference>
          <reference field="12" count="1" selected="0">
            <x v="7"/>
          </reference>
          <reference field="13" count="1" selected="0">
            <x v="91"/>
          </reference>
        </references>
      </pivotArea>
    </format>
    <format dxfId="120">
      <pivotArea dataOnly="0" labelOnly="1" fieldPosition="0">
        <references count="3">
          <reference field="0" count="1">
            <x v="890"/>
          </reference>
          <reference field="12" count="1" selected="0">
            <x v="7"/>
          </reference>
          <reference field="13" count="1" selected="0">
            <x v="100"/>
          </reference>
        </references>
      </pivotArea>
    </format>
    <format dxfId="119">
      <pivotArea dataOnly="0" labelOnly="1" fieldPosition="0">
        <references count="3">
          <reference field="0" count="1">
            <x v="798"/>
          </reference>
          <reference field="12" count="1" selected="0">
            <x v="7"/>
          </reference>
          <reference field="13" count="1" selected="0">
            <x v="171"/>
          </reference>
        </references>
      </pivotArea>
    </format>
    <format dxfId="118">
      <pivotArea dataOnly="0" labelOnly="1" fieldPosition="0">
        <references count="3">
          <reference field="0" count="1">
            <x v="347"/>
          </reference>
          <reference field="12" count="1" selected="0">
            <x v="8"/>
          </reference>
          <reference field="13" count="1" selected="0">
            <x v="123"/>
          </reference>
        </references>
      </pivotArea>
    </format>
    <format dxfId="117">
      <pivotArea dataOnly="0" labelOnly="1" fieldPosition="0">
        <references count="3">
          <reference field="0" count="3">
            <x v="609"/>
            <x v="610"/>
            <x v="611"/>
          </reference>
          <reference field="12" count="1" selected="0">
            <x v="8"/>
          </reference>
          <reference field="13" count="1" selected="0">
            <x v="135"/>
          </reference>
        </references>
      </pivotArea>
    </format>
    <format dxfId="116">
      <pivotArea dataOnly="0" labelOnly="1" fieldPosition="0">
        <references count="3">
          <reference field="0" count="2">
            <x v="825"/>
            <x v="826"/>
          </reference>
          <reference field="12" count="1" selected="0">
            <x v="8"/>
          </reference>
          <reference field="13" count="1" selected="0">
            <x v="180"/>
          </reference>
        </references>
      </pivotArea>
    </format>
    <format dxfId="115">
      <pivotArea dataOnly="0" labelOnly="1" fieldPosition="0">
        <references count="3">
          <reference field="0" count="1">
            <x v="346"/>
          </reference>
          <reference field="12" count="1" selected="0">
            <x v="8"/>
          </reference>
          <reference field="13" count="1" selected="0">
            <x v="190"/>
          </reference>
        </references>
      </pivotArea>
    </format>
    <format dxfId="114">
      <pivotArea dataOnly="0" labelOnly="1" fieldPosition="0">
        <references count="3">
          <reference field="0" count="2">
            <x v="757"/>
            <x v="758"/>
          </reference>
          <reference field="12" count="1" selected="0">
            <x v="9"/>
          </reference>
          <reference field="13" count="1" selected="0">
            <x v="162"/>
          </reference>
        </references>
      </pivotArea>
    </format>
    <format dxfId="113">
      <pivotArea dataOnly="0" labelOnly="1" fieldPosition="0">
        <references count="3">
          <reference field="0" count="1">
            <x v="810"/>
          </reference>
          <reference field="12" count="1" selected="0">
            <x v="9"/>
          </reference>
          <reference field="13" count="1" selected="0">
            <x v="175"/>
          </reference>
        </references>
      </pivotArea>
    </format>
    <format dxfId="112">
      <pivotArea dataOnly="0" labelOnly="1" fieldPosition="0">
        <references count="3">
          <reference field="0" count="1">
            <x v="759"/>
          </reference>
          <reference field="12" count="1" selected="0">
            <x v="9"/>
          </reference>
          <reference field="13" count="1" selected="0">
            <x v="191"/>
          </reference>
        </references>
      </pivotArea>
    </format>
    <format dxfId="111">
      <pivotArea dataOnly="0" labelOnly="1" outline="0" axis="axisValues" fieldPosition="0"/>
    </format>
    <format dxfId="110">
      <pivotArea type="all" dataOnly="0" outline="0" fieldPosition="0"/>
    </format>
    <format dxfId="109">
      <pivotArea outline="0" collapsedLevelsAreSubtotals="1" fieldPosition="0"/>
    </format>
    <format dxfId="108">
      <pivotArea field="12" type="button" dataOnly="0" labelOnly="1" outline="0" axis="axisRow" fieldPosition="0"/>
    </format>
    <format dxfId="107">
      <pivotArea dataOnly="0" labelOnly="1" outline="0" axis="axisValues" fieldPosition="0"/>
    </format>
    <format dxfId="106">
      <pivotArea dataOnly="0" labelOnly="1" fieldPosition="0">
        <references count="1">
          <reference field="12" count="7">
            <x v="0"/>
            <x v="3"/>
            <x v="4"/>
            <x v="5"/>
            <x v="7"/>
            <x v="8"/>
            <x v="9"/>
          </reference>
        </references>
      </pivotArea>
    </format>
    <format dxfId="105">
      <pivotArea dataOnly="0" labelOnly="1" grandRow="1" outline="0" fieldPosition="0"/>
    </format>
    <format dxfId="104">
      <pivotArea dataOnly="0" labelOnly="1" fieldPosition="0">
        <references count="2">
          <reference field="12" count="1" selected="0">
            <x v="0"/>
          </reference>
          <reference field="13" count="2">
            <x v="167"/>
            <x v="192"/>
          </reference>
        </references>
      </pivotArea>
    </format>
    <format dxfId="103">
      <pivotArea dataOnly="0" labelOnly="1" fieldPosition="0">
        <references count="2">
          <reference field="12" count="1" selected="0">
            <x v="3"/>
          </reference>
          <reference field="13" count="1">
            <x v="150"/>
          </reference>
        </references>
      </pivotArea>
    </format>
    <format dxfId="102">
      <pivotArea dataOnly="0" labelOnly="1" fieldPosition="0">
        <references count="2">
          <reference field="12" count="1" selected="0">
            <x v="4"/>
          </reference>
          <reference field="13" count="1">
            <x v="89"/>
          </reference>
        </references>
      </pivotArea>
    </format>
    <format dxfId="101">
      <pivotArea dataOnly="0" labelOnly="1" fieldPosition="0">
        <references count="2">
          <reference field="12" count="1" selected="0">
            <x v="5"/>
          </reference>
          <reference field="13" count="3">
            <x v="101"/>
            <x v="102"/>
            <x v="141"/>
          </reference>
        </references>
      </pivotArea>
    </format>
    <format dxfId="100">
      <pivotArea dataOnly="0" labelOnly="1" fieldPosition="0">
        <references count="2">
          <reference field="12" count="1" selected="0">
            <x v="7"/>
          </reference>
          <reference field="13" count="4">
            <x v="90"/>
            <x v="91"/>
            <x v="100"/>
            <x v="171"/>
          </reference>
        </references>
      </pivotArea>
    </format>
    <format dxfId="99">
      <pivotArea dataOnly="0" labelOnly="1" fieldPosition="0">
        <references count="2">
          <reference field="12" count="1" selected="0">
            <x v="8"/>
          </reference>
          <reference field="13" count="4">
            <x v="123"/>
            <x v="135"/>
            <x v="180"/>
            <x v="190"/>
          </reference>
        </references>
      </pivotArea>
    </format>
    <format dxfId="98">
      <pivotArea dataOnly="0" labelOnly="1" fieldPosition="0">
        <references count="2">
          <reference field="12" count="1" selected="0">
            <x v="9"/>
          </reference>
          <reference field="13" count="3">
            <x v="162"/>
            <x v="175"/>
            <x v="191"/>
          </reference>
        </references>
      </pivotArea>
    </format>
    <format dxfId="97">
      <pivotArea dataOnly="0" labelOnly="1" fieldPosition="0">
        <references count="3">
          <reference field="0" count="3">
            <x v="45"/>
            <x v="769"/>
            <x v="824"/>
          </reference>
          <reference field="12" count="1" selected="0">
            <x v="0"/>
          </reference>
          <reference field="13" count="1" selected="0">
            <x v="167"/>
          </reference>
        </references>
      </pivotArea>
    </format>
    <format dxfId="96">
      <pivotArea dataOnly="0" labelOnly="1" fieldPosition="0">
        <references count="3">
          <reference field="0" count="1">
            <x v="218"/>
          </reference>
          <reference field="12" count="1" selected="0">
            <x v="0"/>
          </reference>
          <reference field="13" count="1" selected="0">
            <x v="192"/>
          </reference>
        </references>
      </pivotArea>
    </format>
    <format dxfId="95">
      <pivotArea dataOnly="0" labelOnly="1" fieldPosition="0">
        <references count="3">
          <reference field="0" count="1">
            <x v="570"/>
          </reference>
          <reference field="12" count="1" selected="0">
            <x v="3"/>
          </reference>
          <reference field="13" count="1" selected="0">
            <x v="150"/>
          </reference>
        </references>
      </pivotArea>
    </format>
    <format dxfId="94">
      <pivotArea dataOnly="0" labelOnly="1" fieldPosition="0">
        <references count="3">
          <reference field="0" count="1">
            <x v="215"/>
          </reference>
          <reference field="12" count="1" selected="0">
            <x v="4"/>
          </reference>
          <reference field="13" count="1" selected="0">
            <x v="89"/>
          </reference>
        </references>
      </pivotArea>
    </format>
    <format dxfId="93">
      <pivotArea dataOnly="0" labelOnly="1" fieldPosition="0">
        <references count="3">
          <reference field="0" count="1">
            <x v="739"/>
          </reference>
          <reference field="12" count="1" selected="0">
            <x v="5"/>
          </reference>
          <reference field="13" count="1" selected="0">
            <x v="101"/>
          </reference>
        </references>
      </pivotArea>
    </format>
    <format dxfId="92">
      <pivotArea dataOnly="0" labelOnly="1" fieldPosition="0">
        <references count="3">
          <reference field="0" count="2">
            <x v="421"/>
            <x v="656"/>
          </reference>
          <reference field="12" count="1" selected="0">
            <x v="5"/>
          </reference>
          <reference field="13" count="1" selected="0">
            <x v="102"/>
          </reference>
        </references>
      </pivotArea>
    </format>
    <format dxfId="91">
      <pivotArea dataOnly="0" labelOnly="1" fieldPosition="0">
        <references count="3">
          <reference field="0" count="3">
            <x v="241"/>
            <x v="720"/>
            <x v="832"/>
          </reference>
          <reference field="12" count="1" selected="0">
            <x v="5"/>
          </reference>
          <reference field="13" count="1" selected="0">
            <x v="141"/>
          </reference>
        </references>
      </pivotArea>
    </format>
    <format dxfId="90">
      <pivotArea dataOnly="0" labelOnly="1" fieldPosition="0">
        <references count="3">
          <reference field="0" count="2">
            <x v="335"/>
            <x v="808"/>
          </reference>
          <reference field="12" count="1" selected="0">
            <x v="7"/>
          </reference>
          <reference field="13" count="1" selected="0">
            <x v="90"/>
          </reference>
        </references>
      </pivotArea>
    </format>
    <format dxfId="89">
      <pivotArea dataOnly="0" labelOnly="1" fieldPosition="0">
        <references count="3">
          <reference field="0" count="1">
            <x v="220"/>
          </reference>
          <reference field="12" count="1" selected="0">
            <x v="7"/>
          </reference>
          <reference field="13" count="1" selected="0">
            <x v="91"/>
          </reference>
        </references>
      </pivotArea>
    </format>
    <format dxfId="88">
      <pivotArea dataOnly="0" labelOnly="1" fieldPosition="0">
        <references count="3">
          <reference field="0" count="1">
            <x v="890"/>
          </reference>
          <reference field="12" count="1" selected="0">
            <x v="7"/>
          </reference>
          <reference field="13" count="1" selected="0">
            <x v="100"/>
          </reference>
        </references>
      </pivotArea>
    </format>
    <format dxfId="87">
      <pivotArea dataOnly="0" labelOnly="1" fieldPosition="0">
        <references count="3">
          <reference field="0" count="1">
            <x v="798"/>
          </reference>
          <reference field="12" count="1" selected="0">
            <x v="7"/>
          </reference>
          <reference field="13" count="1" selected="0">
            <x v="171"/>
          </reference>
        </references>
      </pivotArea>
    </format>
    <format dxfId="86">
      <pivotArea dataOnly="0" labelOnly="1" fieldPosition="0">
        <references count="3">
          <reference field="0" count="1">
            <x v="347"/>
          </reference>
          <reference field="12" count="1" selected="0">
            <x v="8"/>
          </reference>
          <reference field="13" count="1" selected="0">
            <x v="123"/>
          </reference>
        </references>
      </pivotArea>
    </format>
    <format dxfId="85">
      <pivotArea dataOnly="0" labelOnly="1" fieldPosition="0">
        <references count="3">
          <reference field="0" count="3">
            <x v="609"/>
            <x v="610"/>
            <x v="611"/>
          </reference>
          <reference field="12" count="1" selected="0">
            <x v="8"/>
          </reference>
          <reference field="13" count="1" selected="0">
            <x v="135"/>
          </reference>
        </references>
      </pivotArea>
    </format>
    <format dxfId="84">
      <pivotArea dataOnly="0" labelOnly="1" fieldPosition="0">
        <references count="3">
          <reference field="0" count="2">
            <x v="825"/>
            <x v="826"/>
          </reference>
          <reference field="12" count="1" selected="0">
            <x v="8"/>
          </reference>
          <reference field="13" count="1" selected="0">
            <x v="180"/>
          </reference>
        </references>
      </pivotArea>
    </format>
    <format dxfId="83">
      <pivotArea dataOnly="0" labelOnly="1" fieldPosition="0">
        <references count="3">
          <reference field="0" count="1">
            <x v="346"/>
          </reference>
          <reference field="12" count="1" selected="0">
            <x v="8"/>
          </reference>
          <reference field="13" count="1" selected="0">
            <x v="190"/>
          </reference>
        </references>
      </pivotArea>
    </format>
    <format dxfId="82">
      <pivotArea dataOnly="0" labelOnly="1" fieldPosition="0">
        <references count="3">
          <reference field="0" count="2">
            <x v="757"/>
            <x v="758"/>
          </reference>
          <reference field="12" count="1" selected="0">
            <x v="9"/>
          </reference>
          <reference field="13" count="1" selected="0">
            <x v="162"/>
          </reference>
        </references>
      </pivotArea>
    </format>
    <format dxfId="81">
      <pivotArea dataOnly="0" labelOnly="1" fieldPosition="0">
        <references count="3">
          <reference field="0" count="1">
            <x v="810"/>
          </reference>
          <reference field="12" count="1" selected="0">
            <x v="9"/>
          </reference>
          <reference field="13" count="1" selected="0">
            <x v="175"/>
          </reference>
        </references>
      </pivotArea>
    </format>
    <format dxfId="80">
      <pivotArea dataOnly="0" labelOnly="1" fieldPosition="0">
        <references count="3">
          <reference field="0" count="1">
            <x v="759"/>
          </reference>
          <reference field="12" count="1" selected="0">
            <x v="9"/>
          </reference>
          <reference field="13" count="1" selected="0">
            <x v="191"/>
          </reference>
        </references>
      </pivotArea>
    </format>
    <format dxfId="79">
      <pivotArea dataOnly="0" labelOnly="1" outline="0" axis="axisValues" fieldPosition="0"/>
    </format>
    <format dxfId="78">
      <pivotArea type="all" dataOnly="0" outline="0" fieldPosition="0"/>
    </format>
    <format dxfId="77">
      <pivotArea outline="0" collapsedLevelsAreSubtotals="1" fieldPosition="0"/>
    </format>
    <format dxfId="76">
      <pivotArea field="12" type="button" dataOnly="0" labelOnly="1" outline="0" axis="axisRow" fieldPosition="0"/>
    </format>
    <format dxfId="75">
      <pivotArea dataOnly="0" labelOnly="1" outline="0" axis="axisValues" fieldPosition="0"/>
    </format>
    <format dxfId="74">
      <pivotArea dataOnly="0" labelOnly="1" fieldPosition="0">
        <references count="1">
          <reference field="12" count="7">
            <x v="0"/>
            <x v="3"/>
            <x v="4"/>
            <x v="5"/>
            <x v="7"/>
            <x v="8"/>
            <x v="9"/>
          </reference>
        </references>
      </pivotArea>
    </format>
    <format dxfId="73">
      <pivotArea dataOnly="0" labelOnly="1" grandRow="1" outline="0" fieldPosition="0"/>
    </format>
    <format dxfId="72">
      <pivotArea dataOnly="0" labelOnly="1" fieldPosition="0">
        <references count="2">
          <reference field="12" count="1" selected="0">
            <x v="0"/>
          </reference>
          <reference field="13" count="2">
            <x v="167"/>
            <x v="192"/>
          </reference>
        </references>
      </pivotArea>
    </format>
    <format dxfId="71">
      <pivotArea dataOnly="0" labelOnly="1" fieldPosition="0">
        <references count="2">
          <reference field="12" count="1" selected="0">
            <x v="3"/>
          </reference>
          <reference field="13" count="1">
            <x v="150"/>
          </reference>
        </references>
      </pivotArea>
    </format>
    <format dxfId="70">
      <pivotArea dataOnly="0" labelOnly="1" fieldPosition="0">
        <references count="2">
          <reference field="12" count="1" selected="0">
            <x v="4"/>
          </reference>
          <reference field="13" count="1">
            <x v="89"/>
          </reference>
        </references>
      </pivotArea>
    </format>
    <format dxfId="69">
      <pivotArea dataOnly="0" labelOnly="1" fieldPosition="0">
        <references count="2">
          <reference field="12" count="1" selected="0">
            <x v="5"/>
          </reference>
          <reference field="13" count="3">
            <x v="101"/>
            <x v="102"/>
            <x v="141"/>
          </reference>
        </references>
      </pivotArea>
    </format>
    <format dxfId="68">
      <pivotArea dataOnly="0" labelOnly="1" fieldPosition="0">
        <references count="2">
          <reference field="12" count="1" selected="0">
            <x v="7"/>
          </reference>
          <reference field="13" count="4">
            <x v="90"/>
            <x v="91"/>
            <x v="100"/>
            <x v="171"/>
          </reference>
        </references>
      </pivotArea>
    </format>
    <format dxfId="67">
      <pivotArea dataOnly="0" labelOnly="1" fieldPosition="0">
        <references count="2">
          <reference field="12" count="1" selected="0">
            <x v="8"/>
          </reference>
          <reference field="13" count="4">
            <x v="123"/>
            <x v="135"/>
            <x v="180"/>
            <x v="190"/>
          </reference>
        </references>
      </pivotArea>
    </format>
    <format dxfId="66">
      <pivotArea dataOnly="0" labelOnly="1" fieldPosition="0">
        <references count="2">
          <reference field="12" count="1" selected="0">
            <x v="9"/>
          </reference>
          <reference field="13" count="3">
            <x v="162"/>
            <x v="175"/>
            <x v="191"/>
          </reference>
        </references>
      </pivotArea>
    </format>
    <format dxfId="65">
      <pivotArea dataOnly="0" labelOnly="1" fieldPosition="0">
        <references count="3">
          <reference field="0" count="3">
            <x v="45"/>
            <x v="769"/>
            <x v="824"/>
          </reference>
          <reference field="12" count="1" selected="0">
            <x v="0"/>
          </reference>
          <reference field="13" count="1" selected="0">
            <x v="167"/>
          </reference>
        </references>
      </pivotArea>
    </format>
    <format dxfId="64">
      <pivotArea dataOnly="0" labelOnly="1" fieldPosition="0">
        <references count="3">
          <reference field="0" count="1">
            <x v="218"/>
          </reference>
          <reference field="12" count="1" selected="0">
            <x v="0"/>
          </reference>
          <reference field="13" count="1" selected="0">
            <x v="192"/>
          </reference>
        </references>
      </pivotArea>
    </format>
    <format dxfId="63">
      <pivotArea dataOnly="0" labelOnly="1" fieldPosition="0">
        <references count="3">
          <reference field="0" count="1">
            <x v="570"/>
          </reference>
          <reference field="12" count="1" selected="0">
            <x v="3"/>
          </reference>
          <reference field="13" count="1" selected="0">
            <x v="150"/>
          </reference>
        </references>
      </pivotArea>
    </format>
    <format dxfId="62">
      <pivotArea dataOnly="0" labelOnly="1" fieldPosition="0">
        <references count="3">
          <reference field="0" count="1">
            <x v="215"/>
          </reference>
          <reference field="12" count="1" selected="0">
            <x v="4"/>
          </reference>
          <reference field="13" count="1" selected="0">
            <x v="89"/>
          </reference>
        </references>
      </pivotArea>
    </format>
    <format dxfId="61">
      <pivotArea dataOnly="0" labelOnly="1" fieldPosition="0">
        <references count="3">
          <reference field="0" count="1">
            <x v="739"/>
          </reference>
          <reference field="12" count="1" selected="0">
            <x v="5"/>
          </reference>
          <reference field="13" count="1" selected="0">
            <x v="101"/>
          </reference>
        </references>
      </pivotArea>
    </format>
    <format dxfId="60">
      <pivotArea dataOnly="0" labelOnly="1" fieldPosition="0">
        <references count="3">
          <reference field="0" count="2">
            <x v="421"/>
            <x v="656"/>
          </reference>
          <reference field="12" count="1" selected="0">
            <x v="5"/>
          </reference>
          <reference field="13" count="1" selected="0">
            <x v="102"/>
          </reference>
        </references>
      </pivotArea>
    </format>
    <format dxfId="59">
      <pivotArea dataOnly="0" labelOnly="1" fieldPosition="0">
        <references count="3">
          <reference field="0" count="3">
            <x v="241"/>
            <x v="720"/>
            <x v="832"/>
          </reference>
          <reference field="12" count="1" selected="0">
            <x v="5"/>
          </reference>
          <reference field="13" count="1" selected="0">
            <x v="141"/>
          </reference>
        </references>
      </pivotArea>
    </format>
    <format dxfId="58">
      <pivotArea dataOnly="0" labelOnly="1" fieldPosition="0">
        <references count="3">
          <reference field="0" count="2">
            <x v="335"/>
            <x v="808"/>
          </reference>
          <reference field="12" count="1" selected="0">
            <x v="7"/>
          </reference>
          <reference field="13" count="1" selected="0">
            <x v="90"/>
          </reference>
        </references>
      </pivotArea>
    </format>
    <format dxfId="57">
      <pivotArea dataOnly="0" labelOnly="1" fieldPosition="0">
        <references count="3">
          <reference field="0" count="1">
            <x v="220"/>
          </reference>
          <reference field="12" count="1" selected="0">
            <x v="7"/>
          </reference>
          <reference field="13" count="1" selected="0">
            <x v="91"/>
          </reference>
        </references>
      </pivotArea>
    </format>
    <format dxfId="56">
      <pivotArea dataOnly="0" labelOnly="1" fieldPosition="0">
        <references count="3">
          <reference field="0" count="1">
            <x v="890"/>
          </reference>
          <reference field="12" count="1" selected="0">
            <x v="7"/>
          </reference>
          <reference field="13" count="1" selected="0">
            <x v="100"/>
          </reference>
        </references>
      </pivotArea>
    </format>
    <format dxfId="55">
      <pivotArea dataOnly="0" labelOnly="1" fieldPosition="0">
        <references count="3">
          <reference field="0" count="1">
            <x v="798"/>
          </reference>
          <reference field="12" count="1" selected="0">
            <x v="7"/>
          </reference>
          <reference field="13" count="1" selected="0">
            <x v="171"/>
          </reference>
        </references>
      </pivotArea>
    </format>
    <format dxfId="54">
      <pivotArea dataOnly="0" labelOnly="1" fieldPosition="0">
        <references count="3">
          <reference field="0" count="1">
            <x v="347"/>
          </reference>
          <reference field="12" count="1" selected="0">
            <x v="8"/>
          </reference>
          <reference field="13" count="1" selected="0">
            <x v="123"/>
          </reference>
        </references>
      </pivotArea>
    </format>
    <format dxfId="53">
      <pivotArea dataOnly="0" labelOnly="1" fieldPosition="0">
        <references count="3">
          <reference field="0" count="3">
            <x v="609"/>
            <x v="610"/>
            <x v="611"/>
          </reference>
          <reference field="12" count="1" selected="0">
            <x v="8"/>
          </reference>
          <reference field="13" count="1" selected="0">
            <x v="135"/>
          </reference>
        </references>
      </pivotArea>
    </format>
    <format dxfId="52">
      <pivotArea dataOnly="0" labelOnly="1" fieldPosition="0">
        <references count="3">
          <reference field="0" count="2">
            <x v="825"/>
            <x v="826"/>
          </reference>
          <reference field="12" count="1" selected="0">
            <x v="8"/>
          </reference>
          <reference field="13" count="1" selected="0">
            <x v="180"/>
          </reference>
        </references>
      </pivotArea>
    </format>
    <format dxfId="51">
      <pivotArea dataOnly="0" labelOnly="1" fieldPosition="0">
        <references count="3">
          <reference field="0" count="1">
            <x v="346"/>
          </reference>
          <reference field="12" count="1" selected="0">
            <x v="8"/>
          </reference>
          <reference field="13" count="1" selected="0">
            <x v="190"/>
          </reference>
        </references>
      </pivotArea>
    </format>
    <format dxfId="50">
      <pivotArea dataOnly="0" labelOnly="1" fieldPosition="0">
        <references count="3">
          <reference field="0" count="2">
            <x v="757"/>
            <x v="758"/>
          </reference>
          <reference field="12" count="1" selected="0">
            <x v="9"/>
          </reference>
          <reference field="13" count="1" selected="0">
            <x v="162"/>
          </reference>
        </references>
      </pivotArea>
    </format>
    <format dxfId="49">
      <pivotArea dataOnly="0" labelOnly="1" fieldPosition="0">
        <references count="3">
          <reference field="0" count="1">
            <x v="810"/>
          </reference>
          <reference field="12" count="1" selected="0">
            <x v="9"/>
          </reference>
          <reference field="13" count="1" selected="0">
            <x v="175"/>
          </reference>
        </references>
      </pivotArea>
    </format>
    <format dxfId="48">
      <pivotArea dataOnly="0" labelOnly="1" fieldPosition="0">
        <references count="3">
          <reference field="0" count="1">
            <x v="759"/>
          </reference>
          <reference field="12" count="1" selected="0">
            <x v="9"/>
          </reference>
          <reference field="13" count="1" selected="0">
            <x v="191"/>
          </reference>
        </references>
      </pivotArea>
    </format>
    <format dxfId="47">
      <pivotArea dataOnly="0" labelOnly="1" outline="0" axis="axisValues" fieldPosition="0"/>
    </format>
    <format dxfId="46">
      <pivotArea collapsedLevelsAreSubtotals="1" fieldPosition="0">
        <references count="2">
          <reference field="12" count="1" selected="0">
            <x v="4"/>
          </reference>
          <reference field="13" count="1">
            <x v="89"/>
          </reference>
        </references>
      </pivotArea>
    </format>
    <format dxfId="45">
      <pivotArea collapsedLevelsAreSubtotals="1" fieldPosition="0">
        <references count="2">
          <reference field="12" count="1" selected="0">
            <x v="4"/>
          </reference>
          <reference field="13" count="1">
            <x v="89"/>
          </reference>
        </references>
      </pivotArea>
    </format>
    <format dxfId="44">
      <pivotArea collapsedLevelsAreSubtotals="1" fieldPosition="0">
        <references count="3">
          <reference field="0" count="1">
            <x v="215"/>
          </reference>
          <reference field="12" count="1" selected="0">
            <x v="4"/>
          </reference>
          <reference field="13" count="1" selected="0">
            <x v="89"/>
          </reference>
        </references>
      </pivotArea>
    </format>
    <format dxfId="43">
      <pivotArea collapsedLevelsAreSubtotals="1" fieldPosition="0">
        <references count="3">
          <reference field="0" count="1">
            <x v="215"/>
          </reference>
          <reference field="12" count="1" selected="0">
            <x v="4"/>
          </reference>
          <reference field="13" count="1" selected="0">
            <x v="89"/>
          </reference>
        </references>
      </pivotArea>
    </format>
    <format dxfId="42">
      <pivotArea collapsedLevelsAreSubtotals="1" fieldPosition="0">
        <references count="2">
          <reference field="12" count="1" selected="0">
            <x v="4"/>
          </reference>
          <reference field="13" count="1">
            <x v="89"/>
          </reference>
        </references>
      </pivotArea>
    </format>
    <format dxfId="41">
      <pivotArea collapsedLevelsAreSubtotals="1" fieldPosition="0">
        <references count="3">
          <reference field="0" count="1">
            <x v="215"/>
          </reference>
          <reference field="12" count="1" selected="0">
            <x v="4"/>
          </reference>
          <reference field="13" count="1" selected="0">
            <x v="89"/>
          </reference>
        </references>
      </pivotArea>
    </format>
    <format dxfId="40">
      <pivotArea collapsedLevelsAreSubtotals="1" fieldPosition="0">
        <references count="2">
          <reference field="12" count="1" selected="0">
            <x v="4"/>
          </reference>
          <reference field="13" count="1">
            <x v="89"/>
          </reference>
        </references>
      </pivotArea>
    </format>
    <format dxfId="39">
      <pivotArea collapsedLevelsAreSubtotals="1" fieldPosition="0">
        <references count="3">
          <reference field="0" count="1">
            <x v="215"/>
          </reference>
          <reference field="12" count="1" selected="0">
            <x v="4"/>
          </reference>
          <reference field="13" count="1" selected="0">
            <x v="89"/>
          </reference>
        </references>
      </pivotArea>
    </format>
    <format dxfId="38">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18" firstHeaderRow="0" firstDataRow="1" firstDataCol="1"/>
  <pivotFields count="21">
    <pivotField showAll="0"/>
    <pivotField dataField="1" showAll="0"/>
    <pivotField showAll="0"/>
    <pivotField showAll="0" defaultSubtotal="0"/>
    <pivotField showAll="0" defaultSubtotal="0"/>
    <pivotField showAll="0"/>
    <pivotField axis="axisRow" showAll="0" defaultSubtotal="0">
      <items count="3">
        <item x="1"/>
        <item x="0"/>
        <item x="2"/>
      </items>
    </pivotField>
    <pivotField showAll="0"/>
    <pivotField showAll="0"/>
    <pivotField showAll="0"/>
    <pivotField showAll="0" defaultSubtotal="0"/>
    <pivotField showAll="0" defaultSubtotal="0"/>
    <pivotField showAll="0" defaultSubtotal="0"/>
    <pivotField showAll="0" defaultSubtotal="0"/>
    <pivotField showAll="0"/>
    <pivotField showAll="0"/>
    <pivotField axis="axisRow" showAll="0" defaultSubtotal="0">
      <items count="12">
        <item x="3"/>
        <item x="7"/>
        <item x="4"/>
        <item x="6"/>
        <item x="2"/>
        <item m="1" x="11"/>
        <item x="5"/>
        <item x="1"/>
        <item x="9"/>
        <item x="10"/>
        <item x="8"/>
        <item x="0"/>
      </items>
    </pivotField>
    <pivotField showAll="0" defaultSubtotal="0"/>
    <pivotField dataField="1" showAll="0" defaultSubtotal="0"/>
    <pivotField dataField="1" showAll="0" defaultSubtotal="0"/>
    <pivotField showAll="0" defaultSubtotal="0"/>
  </pivotFields>
  <rowFields count="2">
    <field x="6"/>
    <field x="16"/>
  </rowFields>
  <rowItems count="15">
    <i>
      <x/>
    </i>
    <i r="1">
      <x/>
    </i>
    <i r="1">
      <x v="1"/>
    </i>
    <i r="1">
      <x v="2"/>
    </i>
    <i r="1">
      <x v="3"/>
    </i>
    <i r="1">
      <x v="4"/>
    </i>
    <i r="1">
      <x v="6"/>
    </i>
    <i>
      <x v="1"/>
    </i>
    <i r="1">
      <x v="7"/>
    </i>
    <i r="1">
      <x v="8"/>
    </i>
    <i r="1">
      <x v="9"/>
    </i>
    <i r="1">
      <x v="11"/>
    </i>
    <i>
      <x v="2"/>
    </i>
    <i r="1">
      <x v="10"/>
    </i>
    <i t="grand">
      <x/>
    </i>
  </rowItems>
  <colFields count="1">
    <field x="-2"/>
  </colFields>
  <colItems count="3">
    <i>
      <x/>
    </i>
    <i i="1">
      <x v="1"/>
    </i>
    <i i="2">
      <x v="2"/>
    </i>
  </colItems>
  <dataFields count="3">
    <dataField name="Sum of Summa" fld="1" baseField="5" baseItem="0" numFmtId="4"/>
    <dataField name="Sum of I Muudatus" fld="18" baseField="16" baseItem="7" numFmtId="4"/>
    <dataField name="Sum of II Muudatus" fld="19" baseField="16" baseItem="4"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48" firstHeaderRow="0" firstDataRow="1" firstDataCol="1" rowPageCount="1" colPageCount="1"/>
  <pivotFields count="21">
    <pivotField showAll="0"/>
    <pivotField dataField="1" showAll="0"/>
    <pivotField axis="axisPage" multipleItemSelectionAllowed="1" showAll="0">
      <items count="55">
        <item x="49"/>
        <item x="4"/>
        <item x="18"/>
        <item x="43"/>
        <item x="1"/>
        <item m="1" x="51"/>
        <item x="24"/>
        <item x="36"/>
        <item x="27"/>
        <item x="44"/>
        <item x="33"/>
        <item x="32"/>
        <item x="2"/>
        <item x="45"/>
        <item x="19"/>
        <item x="20"/>
        <item x="21"/>
        <item x="3"/>
        <item x="17"/>
        <item x="35"/>
        <item x="9"/>
        <item x="39"/>
        <item x="40"/>
        <item x="31"/>
        <item x="8"/>
        <item x="22"/>
        <item x="30"/>
        <item x="10"/>
        <item x="29"/>
        <item x="16"/>
        <item x="41"/>
        <item x="48"/>
        <item x="15"/>
        <item x="25"/>
        <item x="23"/>
        <item x="47"/>
        <item x="28"/>
        <item x="38"/>
        <item x="34"/>
        <item h="1" x="37"/>
        <item x="26"/>
        <item x="46"/>
        <item x="5"/>
        <item x="6"/>
        <item x="7"/>
        <item x="42"/>
        <item x="11"/>
        <item x="12"/>
        <item x="13"/>
        <item x="14"/>
        <item m="1" x="50"/>
        <item m="1" x="53"/>
        <item x="0"/>
        <item h="1" m="1" x="52"/>
        <item t="default"/>
      </items>
    </pivotField>
    <pivotField showAll="0" defaultSubtota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axis="axisRow" showAll="0" sortType="ascending">
      <items count="47">
        <item x="1"/>
        <item x="15"/>
        <item x="30"/>
        <item x="11"/>
        <item x="27"/>
        <item x="31"/>
        <item x="32"/>
        <item x="37"/>
        <item x="24"/>
        <item x="10"/>
        <item x="3"/>
        <item x="20"/>
        <item x="33"/>
        <item x="34"/>
        <item x="16"/>
        <item x="18"/>
        <item x="29"/>
        <item x="21"/>
        <item x="25"/>
        <item x="35"/>
        <item x="36"/>
        <item m="1" x="44"/>
        <item x="7"/>
        <item x="8"/>
        <item x="9"/>
        <item x="23"/>
        <item x="6"/>
        <item x="4"/>
        <item x="5"/>
        <item x="19"/>
        <item x="17"/>
        <item x="22"/>
        <item x="42"/>
        <item x="39"/>
        <item x="13"/>
        <item x="14"/>
        <item x="26"/>
        <item x="2"/>
        <item x="28"/>
        <item x="12"/>
        <item x="40"/>
        <item x="0"/>
        <item x="38"/>
        <item x="41"/>
        <item x="43"/>
        <item m="1" x="45"/>
        <item t="default"/>
      </items>
    </pivotField>
    <pivotField dataField="1" showAll="0" defaultSubtotal="0"/>
    <pivotField dataField="1" showAll="0" defaultSubtotal="0"/>
    <pivotField showAll="0" defaultSubtotal="0"/>
  </pivotFields>
  <rowFields count="1">
    <field x="17"/>
  </rowFields>
  <rowItems count="45">
    <i>
      <x/>
    </i>
    <i>
      <x v="1"/>
    </i>
    <i>
      <x v="2"/>
    </i>
    <i>
      <x v="3"/>
    </i>
    <i>
      <x v="4"/>
    </i>
    <i>
      <x v="5"/>
    </i>
    <i>
      <x v="6"/>
    </i>
    <i>
      <x v="7"/>
    </i>
    <i>
      <x v="8"/>
    </i>
    <i>
      <x v="9"/>
    </i>
    <i>
      <x v="10"/>
    </i>
    <i>
      <x v="11"/>
    </i>
    <i>
      <x v="12"/>
    </i>
    <i>
      <x v="13"/>
    </i>
    <i>
      <x v="14"/>
    </i>
    <i>
      <x v="15"/>
    </i>
    <i>
      <x v="16"/>
    </i>
    <i>
      <x v="17"/>
    </i>
    <i>
      <x v="18"/>
    </i>
    <i>
      <x v="19"/>
    </i>
    <i>
      <x v="20"/>
    </i>
    <i>
      <x v="22"/>
    </i>
    <i>
      <x v="23"/>
    </i>
    <i>
      <x v="24"/>
    </i>
    <i>
      <x v="25"/>
    </i>
    <i>
      <x v="26"/>
    </i>
    <i>
      <x v="27"/>
    </i>
    <i>
      <x v="28"/>
    </i>
    <i>
      <x v="29"/>
    </i>
    <i>
      <x v="30"/>
    </i>
    <i>
      <x v="31"/>
    </i>
    <i>
      <x v="32"/>
    </i>
    <i>
      <x v="33"/>
    </i>
    <i>
      <x v="34"/>
    </i>
    <i>
      <x v="35"/>
    </i>
    <i>
      <x v="36"/>
    </i>
    <i>
      <x v="37"/>
    </i>
    <i>
      <x v="38"/>
    </i>
    <i>
      <x v="39"/>
    </i>
    <i>
      <x v="40"/>
    </i>
    <i>
      <x v="41"/>
    </i>
    <i>
      <x v="42"/>
    </i>
    <i>
      <x v="43"/>
    </i>
    <i>
      <x v="44"/>
    </i>
    <i t="grand">
      <x/>
    </i>
  </rowItems>
  <colFields count="1">
    <field x="-2"/>
  </colFields>
  <colItems count="3">
    <i>
      <x/>
    </i>
    <i i="1">
      <x v="1"/>
    </i>
    <i i="2">
      <x v="2"/>
    </i>
  </colItems>
  <pageFields count="1">
    <pageField fld="2" hier="-1"/>
  </pageFields>
  <dataFields count="3">
    <dataField name="Sum of Summa" fld="1" baseField="15" baseItem="0" numFmtId="4"/>
    <dataField name="Sum of I Muudatus" fld="18" baseField="17" baseItem="34" numFmtId="4"/>
    <dataField name="Sum of II Muudatus" fld="19" baseField="17" baseItem="0"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106" firstHeaderRow="0" firstDataRow="1" firstDataCol="1" rowPageCount="1" colPageCount="1"/>
  <pivotFields count="21">
    <pivotField showAll="0"/>
    <pivotField dataField="1" showAll="0"/>
    <pivotField axis="axisPage" showAll="0">
      <items count="55">
        <item x="49"/>
        <item x="4"/>
        <item x="18"/>
        <item x="43"/>
        <item x="1"/>
        <item m="1" x="51"/>
        <item x="24"/>
        <item x="36"/>
        <item x="27"/>
        <item x="44"/>
        <item x="33"/>
        <item x="32"/>
        <item x="2"/>
        <item x="45"/>
        <item x="19"/>
        <item x="20"/>
        <item x="21"/>
        <item x="3"/>
        <item x="17"/>
        <item x="35"/>
        <item x="9"/>
        <item x="39"/>
        <item x="40"/>
        <item x="31"/>
        <item x="8"/>
        <item x="22"/>
        <item x="30"/>
        <item x="10"/>
        <item x="29"/>
        <item x="16"/>
        <item x="41"/>
        <item x="48"/>
        <item x="15"/>
        <item x="25"/>
        <item x="23"/>
        <item x="47"/>
        <item x="28"/>
        <item x="38"/>
        <item x="34"/>
        <item x="37"/>
        <item x="26"/>
        <item x="46"/>
        <item x="5"/>
        <item x="6"/>
        <item x="7"/>
        <item x="42"/>
        <item x="11"/>
        <item x="12"/>
        <item x="13"/>
        <item x="14"/>
        <item m="1" x="50"/>
        <item m="1" x="53"/>
        <item x="0"/>
        <item m="1" x="52"/>
        <item t="default"/>
      </items>
    </pivotField>
    <pivotField showAll="0" defaultSubtotal="0"/>
    <pivotField showAll="0"/>
    <pivotField showAll="0"/>
    <pivotField showAll="0"/>
    <pivotField showAll="0"/>
    <pivotField showAll="0"/>
    <pivotField showAll="0"/>
    <pivotField showAll="0"/>
    <pivotField showAll="0"/>
    <pivotField showAll="0" defaultSubtotal="0"/>
    <pivotField axis="axisRow" showAll="0">
      <items count="195">
        <item x="59"/>
        <item x="82"/>
        <item x="61"/>
        <item m="1" x="171"/>
        <item x="16"/>
        <item x="81"/>
        <item x="35"/>
        <item x="15"/>
        <item x="14"/>
        <item x="60"/>
        <item x="83"/>
        <item x="54"/>
        <item x="13"/>
        <item x="58"/>
        <item x="75"/>
        <item m="1" x="169"/>
        <item x="12"/>
        <item x="84"/>
        <item x="85"/>
        <item x="98"/>
        <item x="86"/>
        <item x="36"/>
        <item x="2"/>
        <item m="1" x="125"/>
        <item x="1"/>
        <item x="11"/>
        <item x="87"/>
        <item x="10"/>
        <item x="71"/>
        <item x="74"/>
        <item x="88"/>
        <item x="89"/>
        <item x="77"/>
        <item x="39"/>
        <item x="72"/>
        <item x="90"/>
        <item x="91"/>
        <item x="31"/>
        <item x="22"/>
        <item x="25"/>
        <item m="1" x="153"/>
        <item x="92"/>
        <item m="1" x="136"/>
        <item x="53"/>
        <item x="47"/>
        <item x="19"/>
        <item x="32"/>
        <item m="1" x="157"/>
        <item x="46"/>
        <item x="64"/>
        <item m="1" x="115"/>
        <item x="4"/>
        <item x="57"/>
        <item x="63"/>
        <item x="26"/>
        <item x="49"/>
        <item x="97"/>
        <item x="34"/>
        <item x="56"/>
        <item x="78"/>
        <item m="1" x="123"/>
        <item x="93"/>
        <item x="42"/>
        <item x="20"/>
        <item x="94"/>
        <item x="18"/>
        <item x="50"/>
        <item m="1" x="188"/>
        <item x="101"/>
        <item x="23"/>
        <item x="43"/>
        <item x="70"/>
        <item x="48"/>
        <item m="1" x="119"/>
        <item x="44"/>
        <item x="55"/>
        <item m="1" x="127"/>
        <item x="24"/>
        <item x="30"/>
        <item x="21"/>
        <item x="73"/>
        <item x="33"/>
        <item x="45"/>
        <item x="79"/>
        <item m="1" x="118"/>
        <item x="28"/>
        <item x="3"/>
        <item x="76"/>
        <item x="17"/>
        <item x="95"/>
        <item x="52"/>
        <item x="0"/>
        <item x="80"/>
        <item x="65"/>
        <item x="8"/>
        <item m="1" x="179"/>
        <item x="99"/>
        <item x="66"/>
        <item x="67"/>
        <item x="51"/>
        <item x="9"/>
        <item x="7"/>
        <item m="1" x="110"/>
        <item m="1" x="168"/>
        <item x="29"/>
        <item x="96"/>
        <item x="69"/>
        <item x="38"/>
        <item m="1" x="148"/>
        <item m="1" x="104"/>
        <item m="1" x="128"/>
        <item m="1" x="163"/>
        <item m="1" x="183"/>
        <item m="1" x="189"/>
        <item m="1" x="186"/>
        <item m="1" x="146"/>
        <item m="1" x="175"/>
        <item m="1" x="160"/>
        <item m="1" x="174"/>
        <item m="1" x="117"/>
        <item m="1" x="126"/>
        <item m="1" x="144"/>
        <item m="1" x="161"/>
        <item m="1" x="108"/>
        <item m="1" x="141"/>
        <item m="1" x="191"/>
        <item m="1" x="139"/>
        <item m="1" x="129"/>
        <item m="1" x="166"/>
        <item x="62"/>
        <item m="1" x="131"/>
        <item m="1" x="177"/>
        <item m="1" x="106"/>
        <item m="1" x="162"/>
        <item m="1" x="122"/>
        <item m="1" x="132"/>
        <item m="1" x="150"/>
        <item m="1" x="182"/>
        <item m="1" x="121"/>
        <item m="1" x="190"/>
        <item m="1" x="187"/>
        <item m="1" x="143"/>
        <item m="1" x="109"/>
        <item m="1" x="135"/>
        <item m="1" x="192"/>
        <item m="1" x="159"/>
        <item m="1" x="103"/>
        <item m="1" x="116"/>
        <item m="1" x="185"/>
        <item m="1" x="170"/>
        <item m="1" x="167"/>
        <item m="1" x="154"/>
        <item m="1" x="164"/>
        <item m="1" x="158"/>
        <item m="1" x="151"/>
        <item x="68"/>
        <item m="1" x="124"/>
        <item m="1" x="147"/>
        <item m="1" x="155"/>
        <item m="1" x="120"/>
        <item m="1" x="107"/>
        <item m="1" x="181"/>
        <item m="1" x="112"/>
        <item m="1" x="140"/>
        <item m="1" x="145"/>
        <item m="1" x="149"/>
        <item m="1" x="134"/>
        <item m="1" x="165"/>
        <item m="1" x="142"/>
        <item m="1" x="111"/>
        <item m="1" x="138"/>
        <item m="1" x="130"/>
        <item m="1" x="133"/>
        <item m="1" x="173"/>
        <item m="1" x="152"/>
        <item m="1" x="178"/>
        <item m="1" x="102"/>
        <item m="1" x="193"/>
        <item m="1" x="137"/>
        <item m="1" x="172"/>
        <item m="1" x="176"/>
        <item m="1" x="114"/>
        <item m="1" x="180"/>
        <item m="1" x="105"/>
        <item m="1" x="113"/>
        <item m="1" x="184"/>
        <item x="37"/>
        <item x="100"/>
        <item m="1" x="156"/>
        <item x="41"/>
        <item x="27"/>
        <item x="5"/>
        <item x="6"/>
        <item x="40"/>
        <item t="default"/>
      </items>
    </pivotField>
    <pivotField showAll="0"/>
    <pivotField showAll="0"/>
    <pivotField showAll="0"/>
    <pivotField showAll="0"/>
    <pivotField dataField="1" showAll="0" defaultSubtotal="0"/>
    <pivotField dataField="1" showAll="0" defaultSubtotal="0"/>
    <pivotField showAll="0" defaultSubtotal="0"/>
  </pivotFields>
  <rowFields count="1">
    <field x="13"/>
  </rowFields>
  <rowItems count="103">
    <i>
      <x/>
    </i>
    <i>
      <x v="1"/>
    </i>
    <i>
      <x v="2"/>
    </i>
    <i>
      <x v="4"/>
    </i>
    <i>
      <x v="5"/>
    </i>
    <i>
      <x v="6"/>
    </i>
    <i>
      <x v="7"/>
    </i>
    <i>
      <x v="8"/>
    </i>
    <i>
      <x v="9"/>
    </i>
    <i>
      <x v="10"/>
    </i>
    <i>
      <x v="11"/>
    </i>
    <i>
      <x v="12"/>
    </i>
    <i>
      <x v="13"/>
    </i>
    <i>
      <x v="14"/>
    </i>
    <i>
      <x v="16"/>
    </i>
    <i>
      <x v="17"/>
    </i>
    <i>
      <x v="18"/>
    </i>
    <i>
      <x v="19"/>
    </i>
    <i>
      <x v="20"/>
    </i>
    <i>
      <x v="21"/>
    </i>
    <i>
      <x v="22"/>
    </i>
    <i>
      <x v="24"/>
    </i>
    <i>
      <x v="25"/>
    </i>
    <i>
      <x v="26"/>
    </i>
    <i>
      <x v="27"/>
    </i>
    <i>
      <x v="28"/>
    </i>
    <i>
      <x v="29"/>
    </i>
    <i>
      <x v="30"/>
    </i>
    <i>
      <x v="31"/>
    </i>
    <i>
      <x v="32"/>
    </i>
    <i>
      <x v="33"/>
    </i>
    <i>
      <x v="34"/>
    </i>
    <i>
      <x v="35"/>
    </i>
    <i>
      <x v="36"/>
    </i>
    <i>
      <x v="37"/>
    </i>
    <i>
      <x v="38"/>
    </i>
    <i>
      <x v="39"/>
    </i>
    <i>
      <x v="41"/>
    </i>
    <i>
      <x v="43"/>
    </i>
    <i>
      <x v="44"/>
    </i>
    <i>
      <x v="45"/>
    </i>
    <i>
      <x v="46"/>
    </i>
    <i>
      <x v="48"/>
    </i>
    <i>
      <x v="49"/>
    </i>
    <i>
      <x v="51"/>
    </i>
    <i>
      <x v="52"/>
    </i>
    <i>
      <x v="53"/>
    </i>
    <i>
      <x v="54"/>
    </i>
    <i>
      <x v="55"/>
    </i>
    <i>
      <x v="56"/>
    </i>
    <i>
      <x v="57"/>
    </i>
    <i>
      <x v="58"/>
    </i>
    <i>
      <x v="59"/>
    </i>
    <i>
      <x v="61"/>
    </i>
    <i>
      <x v="62"/>
    </i>
    <i>
      <x v="63"/>
    </i>
    <i>
      <x v="64"/>
    </i>
    <i>
      <x v="65"/>
    </i>
    <i>
      <x v="66"/>
    </i>
    <i>
      <x v="68"/>
    </i>
    <i>
      <x v="69"/>
    </i>
    <i>
      <x v="70"/>
    </i>
    <i>
      <x v="71"/>
    </i>
    <i>
      <x v="72"/>
    </i>
    <i>
      <x v="74"/>
    </i>
    <i>
      <x v="75"/>
    </i>
    <i>
      <x v="77"/>
    </i>
    <i>
      <x v="78"/>
    </i>
    <i>
      <x v="79"/>
    </i>
    <i>
      <x v="80"/>
    </i>
    <i>
      <x v="81"/>
    </i>
    <i>
      <x v="82"/>
    </i>
    <i>
      <x v="83"/>
    </i>
    <i>
      <x v="85"/>
    </i>
    <i>
      <x v="86"/>
    </i>
    <i>
      <x v="87"/>
    </i>
    <i>
      <x v="88"/>
    </i>
    <i>
      <x v="89"/>
    </i>
    <i>
      <x v="90"/>
    </i>
    <i>
      <x v="91"/>
    </i>
    <i>
      <x v="92"/>
    </i>
    <i>
      <x v="93"/>
    </i>
    <i>
      <x v="94"/>
    </i>
    <i>
      <x v="96"/>
    </i>
    <i>
      <x v="97"/>
    </i>
    <i>
      <x v="98"/>
    </i>
    <i>
      <x v="99"/>
    </i>
    <i>
      <x v="100"/>
    </i>
    <i>
      <x v="101"/>
    </i>
    <i>
      <x v="104"/>
    </i>
    <i>
      <x v="105"/>
    </i>
    <i>
      <x v="106"/>
    </i>
    <i>
      <x v="107"/>
    </i>
    <i>
      <x v="129"/>
    </i>
    <i>
      <x v="155"/>
    </i>
    <i>
      <x v="186"/>
    </i>
    <i>
      <x v="187"/>
    </i>
    <i>
      <x v="189"/>
    </i>
    <i>
      <x v="190"/>
    </i>
    <i>
      <x v="191"/>
    </i>
    <i>
      <x v="192"/>
    </i>
    <i>
      <x v="193"/>
    </i>
    <i t="grand">
      <x/>
    </i>
  </rowItems>
  <colFields count="1">
    <field x="-2"/>
  </colFields>
  <colItems count="3">
    <i>
      <x/>
    </i>
    <i i="1">
      <x v="1"/>
    </i>
    <i i="2">
      <x v="2"/>
    </i>
  </colItems>
  <pageFields count="1">
    <pageField fld="2" hier="-1"/>
  </pageFields>
  <dataFields count="3">
    <dataField name="Sum of Summa" fld="1" baseField="9" baseItem="0" numFmtId="4"/>
    <dataField name="Sum of I Muudatus" fld="18" baseField="13" baseItem="22" numFmtId="4"/>
    <dataField name="Sum of II Muudatus" fld="19" baseField="13" baseItem="92"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97" firstHeaderRow="1" firstDataRow="2" firstDataCol="1"/>
  <pivotFields count="21">
    <pivotField showAll="0"/>
    <pivotField dataField="1" showAll="0"/>
    <pivotField axis="axisRow" showAll="0">
      <items count="55">
        <item x="49"/>
        <item x="18"/>
        <item x="43"/>
        <item m="1" x="53"/>
        <item x="0"/>
        <item x="1"/>
        <item m="1" x="51"/>
        <item m="1" x="50"/>
        <item x="24"/>
        <item x="36"/>
        <item x="27"/>
        <item x="44"/>
        <item x="33"/>
        <item x="32"/>
        <item x="2"/>
        <item x="45"/>
        <item x="19"/>
        <item x="20"/>
        <item x="21"/>
        <item x="3"/>
        <item x="17"/>
        <item x="35"/>
        <item x="4"/>
        <item x="9"/>
        <item x="39"/>
        <item x="40"/>
        <item x="31"/>
        <item x="8"/>
        <item x="22"/>
        <item x="30"/>
        <item x="10"/>
        <item x="29"/>
        <item x="16"/>
        <item x="41"/>
        <item x="48"/>
        <item x="15"/>
        <item x="25"/>
        <item x="23"/>
        <item x="47"/>
        <item x="28"/>
        <item x="38"/>
        <item m="1" x="52"/>
        <item x="34"/>
        <item x="37"/>
        <item x="26"/>
        <item x="46"/>
        <item x="5"/>
        <item x="6"/>
        <item x="7"/>
        <item x="42"/>
        <item x="11"/>
        <item x="12"/>
        <item x="13"/>
        <item x="14"/>
        <item t="default"/>
      </items>
    </pivotField>
    <pivotField axis="axisCol" showAll="0">
      <items count="10">
        <item x="0"/>
        <item x="6"/>
        <item m="1" x="8"/>
        <item x="5"/>
        <item x="1"/>
        <item x="2"/>
        <item x="3"/>
        <item x="4"/>
        <item x="7"/>
        <item t="default"/>
      </items>
    </pivotField>
    <pivotField showAll="0"/>
    <pivotField showAll="0"/>
    <pivotField showAll="0"/>
    <pivotField showAll="0"/>
    <pivotField showAll="0"/>
    <pivotField showAll="0"/>
    <pivotField showAll="0"/>
    <pivotField axis="axisRow" showAll="0">
      <items count="108">
        <item h="1" x="97"/>
        <item h="1" x="17"/>
        <item h="1" x="86"/>
        <item h="1" x="77"/>
        <item h="1" x="98"/>
        <item h="1" x="78"/>
        <item h="1" x="4"/>
        <item h="1" x="72"/>
        <item h="1" x="71"/>
        <item h="1" x="96"/>
        <item h="1" x="90"/>
        <item h="1" x="76"/>
        <item h="1" x="89"/>
        <item h="1" x="0"/>
        <item h="1" x="21"/>
        <item h="1" x="38"/>
        <item h="1" x="20"/>
        <item h="1" x="12"/>
        <item h="1" x="84"/>
        <item h="1" x="42"/>
        <item h="1" x="3"/>
        <item h="1" x="91"/>
        <item h="1" x="68"/>
        <item h="1" x="94"/>
        <item h="1" x="104"/>
        <item h="1" x="105"/>
        <item h="1" x="18"/>
        <item h="1" x="50"/>
        <item h="1" x="46"/>
        <item h="1" x="10"/>
        <item h="1" x="51"/>
        <item h="1" x="47"/>
        <item h="1" x="52"/>
        <item h="1" x="48"/>
        <item h="1" x="85"/>
        <item h="1" x="66"/>
        <item h="1" x="2"/>
        <item h="1" x="5"/>
        <item h="1" x="6"/>
        <item h="1" x="41"/>
        <item h="1" x="27"/>
        <item h="1" x="28"/>
        <item h="1" x="11"/>
        <item h="1" x="32"/>
        <item h="1" x="79"/>
        <item h="1" x="88"/>
        <item h="1" x="81"/>
        <item h="1" x="45"/>
        <item h="1" x="9"/>
        <item h="1" x="49"/>
        <item h="1" x="92"/>
        <item h="1" x="8"/>
        <item h="1" x="37"/>
        <item h="1" x="36"/>
        <item h="1" x="55"/>
        <item h="1" x="69"/>
        <item h="1" x="1"/>
        <item h="1" x="56"/>
        <item h="1" x="101"/>
        <item x="34"/>
        <item x="44"/>
        <item x="7"/>
        <item x="100"/>
        <item x="40"/>
        <item x="15"/>
        <item h="1" x="103"/>
        <item h="1" x="19"/>
        <item h="1" x="13"/>
        <item h="1" x="53"/>
        <item h="1" x="54"/>
        <item h="1" x="33"/>
        <item h="1" x="87"/>
        <item h="1" x="95"/>
        <item h="1" x="70"/>
        <item h="1" x="82"/>
        <item h="1" x="35"/>
        <item h="1" x="16"/>
        <item h="1" x="65"/>
        <item h="1" x="64"/>
        <item h="1" x="63"/>
        <item h="1" x="62"/>
        <item h="1" x="31"/>
        <item h="1" x="61"/>
        <item h="1" x="30"/>
        <item h="1" x="60"/>
        <item h="1" x="43"/>
        <item h="1" x="80"/>
        <item h="1" x="22"/>
        <item h="1" x="67"/>
        <item h="1" x="14"/>
        <item h="1" x="59"/>
        <item h="1" x="58"/>
        <item h="1" x="102"/>
        <item h="1" x="93"/>
        <item h="1" x="75"/>
        <item h="1" x="29"/>
        <item h="1" x="57"/>
        <item h="1" x="23"/>
        <item h="1" x="24"/>
        <item h="1" x="25"/>
        <item h="1" x="74"/>
        <item h="1" x="83"/>
        <item h="1" x="99"/>
        <item h="1" x="26"/>
        <item h="1" x="73"/>
        <item h="1" x="39"/>
        <item h="1" m="1" x="106"/>
        <item t="default"/>
      </items>
    </pivotField>
    <pivotField showAll="0"/>
    <pivotField axis="axisRow" showAll="0">
      <items count="195">
        <item m="1" x="132"/>
        <item m="1" x="192"/>
        <item m="1" x="177"/>
        <item m="1" x="176"/>
        <item m="1" x="116"/>
        <item m="1" x="185"/>
        <item m="1" x="131"/>
        <item m="1" x="162"/>
        <item m="1" x="141"/>
        <item m="1" x="150"/>
        <item m="1" x="108"/>
        <item m="1" x="140"/>
        <item m="1" x="167"/>
        <item m="1" x="175"/>
        <item m="1" x="173"/>
        <item m="1" x="105"/>
        <item m="1" x="117"/>
        <item m="1" x="164"/>
        <item m="1" x="151"/>
        <item m="1" x="144"/>
        <item m="1" x="160"/>
        <item m="1" x="182"/>
        <item m="1" x="161"/>
        <item m="1" x="163"/>
        <item m="1" x="103"/>
        <item m="1" x="180"/>
        <item m="1" x="139"/>
        <item m="1" x="186"/>
        <item m="1" x="114"/>
        <item m="1" x="122"/>
        <item m="1" x="109"/>
        <item m="1" x="178"/>
        <item m="1" x="165"/>
        <item m="1" x="184"/>
        <item m="1" x="149"/>
        <item m="1" x="158"/>
        <item m="1" x="126"/>
        <item m="1" x="129"/>
        <item m="1" x="183"/>
        <item m="1" x="190"/>
        <item m="1" x="166"/>
        <item m="1" x="159"/>
        <item m="1" x="191"/>
        <item m="1" x="155"/>
        <item m="1" x="147"/>
        <item m="1" x="134"/>
        <item m="1" x="120"/>
        <item m="1" x="170"/>
        <item m="1" x="146"/>
        <item m="1" x="137"/>
        <item m="1" x="102"/>
        <item m="1" x="187"/>
        <item m="1" x="111"/>
        <item m="1" x="174"/>
        <item m="1" x="145"/>
        <item m="1" x="181"/>
        <item m="1" x="107"/>
        <item m="1" x="143"/>
        <item m="1" x="106"/>
        <item m="1" x="135"/>
        <item m="1" x="138"/>
        <item m="1" x="113"/>
        <item m="1" x="104"/>
        <item m="1" x="148"/>
        <item m="1" x="152"/>
        <item m="1" x="189"/>
        <item m="1" x="154"/>
        <item m="1" x="130"/>
        <item m="1" x="133"/>
        <item m="1" x="142"/>
        <item m="1" x="172"/>
        <item m="1" x="112"/>
        <item m="1" x="121"/>
        <item m="1" x="128"/>
        <item m="1" x="193"/>
        <item x="59"/>
        <item x="82"/>
        <item x="61"/>
        <item m="1" x="171"/>
        <item x="16"/>
        <item x="81"/>
        <item x="35"/>
        <item x="15"/>
        <item x="14"/>
        <item x="60"/>
        <item x="83"/>
        <item x="54"/>
        <item x="13"/>
        <item x="58"/>
        <item x="75"/>
        <item m="1" x="169"/>
        <item x="12"/>
        <item x="84"/>
        <item x="85"/>
        <item x="98"/>
        <item x="86"/>
        <item x="36"/>
        <item x="2"/>
        <item m="1" x="125"/>
        <item x="40"/>
        <item x="1"/>
        <item x="11"/>
        <item x="87"/>
        <item x="38"/>
        <item x="10"/>
        <item x="71"/>
        <item x="74"/>
        <item x="88"/>
        <item x="89"/>
        <item x="77"/>
        <item x="39"/>
        <item x="72"/>
        <item x="90"/>
        <item x="91"/>
        <item x="31"/>
        <item x="22"/>
        <item x="25"/>
        <item m="1" x="153"/>
        <item x="92"/>
        <item m="1" x="124"/>
        <item m="1" x="136"/>
        <item x="53"/>
        <item x="47"/>
        <item x="19"/>
        <item x="32"/>
        <item m="1" x="157"/>
        <item x="37"/>
        <item x="68"/>
        <item x="46"/>
        <item x="64"/>
        <item x="62"/>
        <item m="1" x="115"/>
        <item x="4"/>
        <item x="57"/>
        <item x="63"/>
        <item x="26"/>
        <item x="49"/>
        <item x="97"/>
        <item x="34"/>
        <item x="56"/>
        <item x="41"/>
        <item x="78"/>
        <item m="1" x="123"/>
        <item x="93"/>
        <item x="42"/>
        <item x="20"/>
        <item x="94"/>
        <item x="18"/>
        <item x="50"/>
        <item m="1" x="188"/>
        <item x="101"/>
        <item x="23"/>
        <item x="43"/>
        <item x="70"/>
        <item x="48"/>
        <item m="1" x="119"/>
        <item x="44"/>
        <item x="55"/>
        <item x="27"/>
        <item m="1" x="127"/>
        <item x="24"/>
        <item x="30"/>
        <item x="21"/>
        <item x="73"/>
        <item x="33"/>
        <item x="45"/>
        <item x="79"/>
        <item m="1" x="118"/>
        <item x="28"/>
        <item x="3"/>
        <item x="76"/>
        <item x="17"/>
        <item x="95"/>
        <item x="52"/>
        <item x="0"/>
        <item x="80"/>
        <item x="65"/>
        <item x="8"/>
        <item m="1" x="179"/>
        <item x="99"/>
        <item x="66"/>
        <item x="67"/>
        <item x="51"/>
        <item x="9"/>
        <item x="7"/>
        <item x="100"/>
        <item x="5"/>
        <item m="1" x="110"/>
        <item x="6"/>
        <item m="1" x="168"/>
        <item x="29"/>
        <item x="96"/>
        <item x="69"/>
        <item m="1" x="156"/>
        <item t="default"/>
      </items>
    </pivotField>
    <pivotField showAll="0"/>
    <pivotField showAll="0"/>
    <pivotField showAll="0"/>
    <pivotField showAll="0"/>
    <pivotField showAll="0"/>
    <pivotField showAll="0"/>
    <pivotField showAll="0"/>
  </pivotFields>
  <rowFields count="3">
    <field x="11"/>
    <field x="13"/>
    <field x="2"/>
  </rowFields>
  <rowItems count="93">
    <i>
      <x v="59"/>
    </i>
    <i r="1">
      <x v="138"/>
    </i>
    <i r="2">
      <x v="5"/>
    </i>
    <i r="2">
      <x v="19"/>
    </i>
    <i r="2">
      <x v="20"/>
    </i>
    <i r="2">
      <x v="22"/>
    </i>
    <i r="2">
      <x v="23"/>
    </i>
    <i r="2">
      <x v="26"/>
    </i>
    <i r="2">
      <x v="27"/>
    </i>
    <i r="2">
      <x v="29"/>
    </i>
    <i r="2">
      <x v="30"/>
    </i>
    <i r="2">
      <x v="31"/>
    </i>
    <i r="2">
      <x v="32"/>
    </i>
    <i r="2">
      <x v="33"/>
    </i>
    <i r="2">
      <x v="35"/>
    </i>
    <i r="2">
      <x v="36"/>
    </i>
    <i r="2">
      <x v="46"/>
    </i>
    <i r="2">
      <x v="47"/>
    </i>
    <i r="2">
      <x v="48"/>
    </i>
    <i r="2">
      <x v="50"/>
    </i>
    <i r="2">
      <x v="53"/>
    </i>
    <i>
      <x v="60"/>
    </i>
    <i r="1">
      <x v="156"/>
    </i>
    <i r="2">
      <x v="19"/>
    </i>
    <i r="2">
      <x v="20"/>
    </i>
    <i r="2">
      <x v="22"/>
    </i>
    <i r="2">
      <x v="23"/>
    </i>
    <i r="2">
      <x v="26"/>
    </i>
    <i r="2">
      <x v="27"/>
    </i>
    <i r="2">
      <x v="29"/>
    </i>
    <i r="2">
      <x v="30"/>
    </i>
    <i r="2">
      <x v="31"/>
    </i>
    <i r="2">
      <x v="32"/>
    </i>
    <i r="2">
      <x v="33"/>
    </i>
    <i r="2">
      <x v="35"/>
    </i>
    <i r="2">
      <x v="36"/>
    </i>
    <i r="2">
      <x v="46"/>
    </i>
    <i r="2">
      <x v="47"/>
    </i>
    <i r="2">
      <x v="48"/>
    </i>
    <i r="2">
      <x v="50"/>
    </i>
    <i r="2">
      <x v="51"/>
    </i>
    <i r="2">
      <x v="52"/>
    </i>
    <i r="2">
      <x v="53"/>
    </i>
    <i>
      <x v="61"/>
    </i>
    <i r="1">
      <x v="184"/>
    </i>
    <i r="2">
      <x v="5"/>
    </i>
    <i r="2">
      <x v="19"/>
    </i>
    <i r="2">
      <x v="22"/>
    </i>
    <i r="2">
      <x v="23"/>
    </i>
    <i r="2">
      <x v="26"/>
    </i>
    <i r="2">
      <x v="27"/>
    </i>
    <i r="2">
      <x v="30"/>
    </i>
    <i r="2">
      <x v="31"/>
    </i>
    <i r="2">
      <x v="32"/>
    </i>
    <i r="2">
      <x v="33"/>
    </i>
    <i r="2">
      <x v="35"/>
    </i>
    <i r="2">
      <x v="36"/>
    </i>
    <i r="2">
      <x v="38"/>
    </i>
    <i r="2">
      <x v="46"/>
    </i>
    <i r="2">
      <x v="47"/>
    </i>
    <i r="2">
      <x v="48"/>
    </i>
    <i r="2">
      <x v="50"/>
    </i>
    <i r="2">
      <x v="51"/>
    </i>
    <i r="2">
      <x v="52"/>
    </i>
    <i r="2">
      <x v="53"/>
    </i>
    <i>
      <x v="62"/>
    </i>
    <i r="1">
      <x v="94"/>
    </i>
    <i r="2">
      <x v="35"/>
    </i>
    <i>
      <x v="63"/>
    </i>
    <i r="1">
      <x v="99"/>
    </i>
    <i r="2">
      <x v="5"/>
    </i>
    <i r="2">
      <x v="19"/>
    </i>
    <i r="2">
      <x v="22"/>
    </i>
    <i r="2">
      <x v="23"/>
    </i>
    <i r="2">
      <x v="26"/>
    </i>
    <i r="2">
      <x v="27"/>
    </i>
    <i r="2">
      <x v="29"/>
    </i>
    <i r="2">
      <x v="30"/>
    </i>
    <i r="2">
      <x v="31"/>
    </i>
    <i r="2">
      <x v="32"/>
    </i>
    <i r="2">
      <x v="33"/>
    </i>
    <i r="2">
      <x v="35"/>
    </i>
    <i r="2">
      <x v="36"/>
    </i>
    <i r="2">
      <x v="46"/>
    </i>
    <i r="2">
      <x v="47"/>
    </i>
    <i r="2">
      <x v="48"/>
    </i>
    <i r="2">
      <x v="50"/>
    </i>
    <i r="2">
      <x v="51"/>
    </i>
    <i r="2">
      <x v="53"/>
    </i>
    <i>
      <x v="64"/>
    </i>
    <i r="1">
      <x v="82"/>
    </i>
    <i r="2">
      <x v="35"/>
    </i>
    <i t="grand">
      <x/>
    </i>
  </rowItems>
  <colFields count="1">
    <field x="3"/>
  </colFields>
  <colItems count="4">
    <i>
      <x/>
    </i>
    <i>
      <x v="5"/>
    </i>
    <i>
      <x v="6"/>
    </i>
    <i t="grand">
      <x/>
    </i>
  </colItems>
  <dataFields count="1">
    <dataField name="Sum of Summa" fld="1" baseField="11" baseItem="51" numFmtId="4"/>
  </dataFields>
  <pivotTableStyleInfo name="PivotStyleLight1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8" firstHeaderRow="1" firstDataRow="1" firstDataCol="1"/>
  <pivotFields count="19">
    <pivotField showAll="0"/>
    <pivotField dataField="1" showAll="0"/>
    <pivotField showAll="0"/>
    <pivotField showAll="0" defaultSubtotal="0"/>
    <pivotField showAll="0"/>
    <pivotField axis="axisRow" showAll="0" defaultSubtotal="0">
      <items count="3">
        <item x="0"/>
        <item x="1"/>
        <item x="2"/>
      </items>
    </pivotField>
    <pivotField showAll="0"/>
    <pivotField showAll="0"/>
    <pivotField showAll="0"/>
    <pivotField showAll="0" defaultSubtotal="0"/>
    <pivotField showAll="0" defaultSubtotal="0"/>
    <pivotField showAll="0" defaultSubtotal="0"/>
    <pivotField showAll="0"/>
    <pivotField showAll="0"/>
    <pivotField axis="axisRow" showAll="0" defaultSubtotal="0">
      <items count="13">
        <item m="1" x="11"/>
        <item x="0"/>
        <item x="2"/>
        <item x="1"/>
        <item m="1" x="12"/>
        <item x="3"/>
        <item x="4"/>
        <item x="5"/>
        <item x="6"/>
        <item x="8"/>
        <item x="7"/>
        <item x="9"/>
        <item x="10"/>
      </items>
    </pivotField>
    <pivotField showAll="0" defaultSubtotal="0"/>
    <pivotField showAll="0" defaultSubtotal="0"/>
    <pivotField showAll="0" defaultSubtotal="0"/>
    <pivotField showAll="0" defaultSubtotal="0"/>
  </pivotFields>
  <rowFields count="2">
    <field x="5"/>
    <field x="14"/>
  </rowFields>
  <rowItems count="15">
    <i>
      <x/>
    </i>
    <i r="1">
      <x v="1"/>
    </i>
    <i r="1">
      <x v="12"/>
    </i>
    <i>
      <x v="1"/>
    </i>
    <i r="1">
      <x v="2"/>
    </i>
    <i r="1">
      <x v="3"/>
    </i>
    <i r="1">
      <x v="5"/>
    </i>
    <i r="1">
      <x v="6"/>
    </i>
    <i r="1">
      <x v="7"/>
    </i>
    <i r="1">
      <x v="8"/>
    </i>
    <i r="1">
      <x v="9"/>
    </i>
    <i r="1">
      <x v="10"/>
    </i>
    <i>
      <x v="2"/>
    </i>
    <i r="1">
      <x v="11"/>
    </i>
    <i t="grand">
      <x/>
    </i>
  </rowItems>
  <colItems count="1">
    <i/>
  </colItems>
  <dataFields count="1">
    <dataField name="Sum of Summa" fld="1" baseField="5" baseItem="0"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U1555" headerRowCellStyle="Normal 3" dataCellStyle="Normal 3">
  <autoFilter ref="A1:U1555">
    <filterColumn colId="3">
      <filters>
        <filter val="15"/>
      </filters>
    </filterColumn>
    <filterColumn colId="15">
      <filters blank="1"/>
    </filterColumn>
  </autoFilter>
  <sortState ref="A32:U1394">
    <sortCondition ref="L1:L1455"/>
  </sortState>
  <tableColumns count="21">
    <tableColumn id="1" name="Kirje" totalsRowLabel="Total" totalsRowDxfId="37" dataCellStyle="Normal 3"/>
    <tableColumn id="2" name="Summa" totalsRowFunction="sum" totalsRowDxfId="36" dataCellStyle="Normal 3"/>
    <tableColumn id="3" name="Eelarvekonto" totalsRowDxfId="35" dataCellStyle="Normal 3"/>
    <tableColumn id="17" name="Eelarve konto 2 kohaline" dataDxfId="34" totalsRowDxfId="33" dataCellStyle="Normal 3">
      <calculatedColumnFormula>LEFT(Table1[[#This Row],[Eelarvekonto]],2)</calculatedColumnFormula>
    </tableColumn>
    <tableColumn id="4" name="Konto nimetus" dataDxfId="32" totalsRowDxfId="31" dataCellStyle="Normal 3">
      <calculatedColumnFormula>VLOOKUP(Table1[[#This Row],[Eelarvekonto]],Table5[[Konto]:[Konto nimetus]],2,FALSE)</calculatedColumnFormula>
    </tableColumn>
    <tableColumn id="5" name="Eelarveosa" totalsRowDxfId="30" dataCellStyle="Normal 3"/>
    <tableColumn id="6" name="Tulu/kulu liigi grupp" totalsRowDxfId="29" dataCellStyle="Normal 3"/>
    <tableColumn id="7" name="Projekt" totalsRowDxfId="28" dataCellStyle="Normal 3"/>
    <tableColumn id="8" name="Column3" totalsRowDxfId="27" dataCellStyle="Normal 3"/>
    <tableColumn id="9" name="Osakond" totalsRowDxfId="26" dataCellStyle="Normal 3"/>
    <tableColumn id="10" name="Eelarve eest vastutav" totalsRowDxfId="25" dataCellStyle="Normal 3"/>
    <tableColumn id="11" name="Tegevusala kood" dataDxfId="24" totalsRowDxfId="23" dataCellStyle="Normal 3"/>
    <tableColumn id="18" name="Tegevusala kood 2 kohaline" dataDxfId="22" totalsRowDxfId="21" dataCellStyle="Normal 3">
      <calculatedColumnFormula>LEFT(Table1[[#This Row],[Tegevusala kood]],2)</calculatedColumnFormula>
    </tableColumn>
    <tableColumn id="12" name="Tegevusala nimetus2" dataDxfId="20" totalsRowDxfId="19" dataCellStyle="Normal 3">
      <calculatedColumnFormula>VLOOKUP(Table1[[#This Row],[Tegevusala kood]],Table4[[Tegevusala kood]:[Tegevusala alanimetus]],2,FALSE)</calculatedColumnFormula>
    </tableColumn>
    <tableColumn id="13" name="Objekt" totalsRowDxfId="18" dataCellStyle="Normal 3"/>
    <tableColumn id="14" name="Column6" totalsRowDxfId="17" dataCellStyle="Normal 3"/>
    <tableColumn id="16" name="Kontode alanimetus" dataDxfId="16" totalsRowDxfId="15" dataCellStyle="Normal 3">
      <calculatedColumnFormula>VLOOKUP(Table1[[#This Row],[Eelarvekonto]],Table5[[Konto]:[Kontode alanimetus]],5,FALSE)</calculatedColumnFormula>
    </tableColumn>
    <tableColumn id="15" name="Tegevus alanimetus" dataDxfId="14" totalsRowDxfId="13" dataCellStyle="Normal 3">
      <calculatedColumnFormula>VLOOKUP(Table1[[#This Row],[Tegevusala kood]],Table4[[Tegevusala kood]:[Tegevusala alanimetus]],4,FALSE)</calculatedColumnFormula>
    </tableColumn>
    <tableColumn id="19" name="I Muudatus" totalsRowFunction="sum" dataDxfId="12" totalsRowDxfId="11" dataCellStyle="Normal 3"/>
    <tableColumn id="21" name="II Muudatus" totalsRowFunction="sum" dataDxfId="10" totalsRowDxfId="9" dataCellStyle="Normal 3"/>
    <tableColumn id="20" name="Eelarve peale muudatusi" totalsRowFunction="sum" dataDxfId="8" totalsRowDxfId="7" dataCellStyle="Normal 3">
      <calculatedColumnFormula>Table1[[#This Row],[Summa]]+Table1[[#This Row],[I Muudatus]]+Table1[[#This Row],[II Muudatus]]</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4" name="Table15" displayName="Table15" ref="A1:S59" totalsRowCount="1">
  <autoFilter ref="A1:S58">
    <filterColumn colId="3">
      <filters>
        <filter val="TULUD SOTSIAALABIALASEST TEGEVUSEST"/>
      </filters>
    </filterColumn>
  </autoFilter>
  <tableColumns count="19">
    <tableColumn id="1" name="Kirje" totalsRowLabel="Total"/>
    <tableColumn id="2" name="Summa" totalsRowFunction="sum" totalsRowDxfId="6"/>
    <tableColumn id="3" name="Eelarvekonto"/>
    <tableColumn id="4" name="Konto nimetus"/>
    <tableColumn id="5" name="Eelarveosa"/>
    <tableColumn id="6" name="Tulu/kulu liigi grupp"/>
    <tableColumn id="7" name="Projekt"/>
    <tableColumn id="8" name="Column3"/>
    <tableColumn id="9" name="Osakond"/>
    <tableColumn id="10" name="Eelarve eest vastutav"/>
    <tableColumn id="11" name="Tegevusala kood"/>
    <tableColumn id="12" name="Tegevusala nimetus2" dataDxfId="5">
      <calculatedColumnFormula>VLOOKUP(Table15[[#This Row],[Tegevusala kood]],Table4[[Tegevusala kood]:[Tegevusala alanimetus]],2,FALSE)</calculatedColumnFormula>
    </tableColumn>
    <tableColumn id="13" name="Objekt"/>
    <tableColumn id="14" name="Column6"/>
    <tableColumn id="15" name="Kontode alanimetus" dataDxfId="4" totalsRowDxfId="3" dataCellStyle="Normal 3">
      <calculatedColumnFormula>VLOOKUP(Table15[[#This Row],[Eelarvekonto]],Table5[[Konto]:[Kontode alanimetus]],5,FALSE)</calculatedColumnFormula>
    </tableColumn>
    <tableColumn id="16" name="Tegevus alanimetus" totalsRowFunction="count" dataDxfId="2" totalsRowDxfId="1" dataCellStyle="Normal 3">
      <calculatedColumnFormula>VLOOKUP(Table15[[#This Row],[Tegevusala kood]],Table4[[Tegevusala kood]:[Tegevusala alanimetus]],4,FALSE)</calculatedColumnFormula>
    </tableColumn>
    <tableColumn id="17" name="I Muudatus" dataCellStyle="Normal 3"/>
    <tableColumn id="19" name="II Muudatus" dataCellStyle="Normal 3"/>
    <tableColumn id="18" name="Eelarve peale muudatusi" totalsRowFunction="sum" dataDxfId="0" dataCellStyle="Normal 3">
      <calculatedColumnFormula>Table15[[#This Row],[Summa]]+Table15[[#This Row],[I Muudatus]]+Table15[[#This Row],[II Muudatus]]</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2" name="Table5" displayName="Table5" ref="A1:F103" totalsRowShown="0">
  <autoFilter ref="A1:F103"/>
  <tableColumns count="6">
    <tableColumn id="1" name="Tulu/kulu liik"/>
    <tableColumn id="6" name="Konto"/>
    <tableColumn id="5" name="Konto nimetus"/>
    <tableColumn id="2" name="Kontode koondnimetus"/>
    <tableColumn id="4" name="Tulu/kulu liigi grupp"/>
    <tableColumn id="3" name="Kontode alanimetus"/>
  </tableColumns>
  <tableStyleInfo name="TableStyleMedium2" showFirstColumn="0" showLastColumn="0" showRowStripes="1" showColumnStripes="0"/>
</table>
</file>

<file path=xl/tables/table4.xml><?xml version="1.0" encoding="utf-8"?>
<table xmlns="http://schemas.openxmlformats.org/spreadsheetml/2006/main" id="3" name="Table4" displayName="Table4" ref="A1:E138" totalsRowShown="0">
  <autoFilter ref="A1:E138"/>
  <sortState ref="A2:D130">
    <sortCondition ref="A1:A130"/>
  </sortState>
  <tableColumns count="5">
    <tableColumn id="1" name="Tegevusala kood"/>
    <tableColumn id="2" name="Tegevusala nimetus"/>
    <tableColumn id="3" name="Tegevusala koondnimetus"/>
    <tableColumn id="4" name="Tegevusala alanimetus"/>
    <tableColumn id="5" name="Märkuse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44"/>
  <sheetViews>
    <sheetView tabSelected="1" zoomScaleNormal="100" workbookViewId="0">
      <selection activeCell="Q111" sqref="Q111"/>
    </sheetView>
  </sheetViews>
  <sheetFormatPr defaultRowHeight="14.4" x14ac:dyDescent="0.3"/>
  <cols>
    <col min="1" max="1" width="22" customWidth="1"/>
    <col min="2" max="2" width="18.109375" customWidth="1"/>
    <col min="3" max="3" width="58.109375" customWidth="1"/>
    <col min="4" max="4" width="13.88671875" customWidth="1"/>
    <col min="5" max="5" width="13.88671875" hidden="1" customWidth="1"/>
    <col min="6" max="6" width="13.6640625" customWidth="1"/>
    <col min="7" max="9" width="13.88671875" hidden="1" customWidth="1"/>
    <col min="10" max="10" width="13.44140625" bestFit="1" customWidth="1"/>
    <col min="11" max="11" width="8.33203125" bestFit="1" customWidth="1"/>
  </cols>
  <sheetData>
    <row r="1" spans="1:11" ht="12" customHeight="1" x14ac:dyDescent="0.3">
      <c r="A1" s="1" t="s">
        <v>0</v>
      </c>
      <c r="B1" s="2"/>
      <c r="C1" s="2"/>
      <c r="D1" s="2"/>
      <c r="E1" s="2"/>
      <c r="F1" s="2"/>
      <c r="G1" s="2"/>
      <c r="H1" s="2"/>
      <c r="I1" s="2"/>
      <c r="J1" s="2"/>
      <c r="K1" s="3"/>
    </row>
    <row r="2" spans="1:11" ht="12" customHeight="1" x14ac:dyDescent="0.3">
      <c r="A2" s="1"/>
      <c r="B2" s="2"/>
      <c r="C2" s="2"/>
      <c r="D2" s="2"/>
      <c r="E2" s="2"/>
      <c r="F2" s="2"/>
      <c r="G2" s="2"/>
      <c r="H2" s="2"/>
      <c r="I2" s="2"/>
      <c r="J2" s="2"/>
      <c r="K2" s="3"/>
    </row>
    <row r="3" spans="1:11" ht="12" customHeight="1" x14ac:dyDescent="0.3">
      <c r="A3" s="2" t="s">
        <v>1</v>
      </c>
      <c r="B3" s="2"/>
      <c r="C3" s="2"/>
      <c r="D3" s="126">
        <v>2021</v>
      </c>
      <c r="E3" s="126"/>
      <c r="F3" s="126">
        <v>2022</v>
      </c>
      <c r="G3" s="126"/>
      <c r="H3" s="126"/>
      <c r="I3" s="126"/>
      <c r="J3" s="5" t="s">
        <v>1002</v>
      </c>
      <c r="K3" s="3"/>
    </row>
    <row r="4" spans="1:11" ht="22.5" customHeight="1" x14ac:dyDescent="0.3">
      <c r="A4" s="127" t="s">
        <v>2</v>
      </c>
      <c r="B4" s="127"/>
      <c r="C4" s="127"/>
      <c r="D4" s="6" t="s">
        <v>3</v>
      </c>
      <c r="E4" s="6" t="s">
        <v>4</v>
      </c>
      <c r="F4" s="6" t="s">
        <v>3</v>
      </c>
      <c r="G4" s="6" t="s">
        <v>989</v>
      </c>
      <c r="H4" s="6" t="s">
        <v>993</v>
      </c>
      <c r="I4" s="80" t="s">
        <v>987</v>
      </c>
      <c r="J4" s="6" t="s">
        <v>5</v>
      </c>
      <c r="K4" s="7" t="s">
        <v>6</v>
      </c>
    </row>
    <row r="5" spans="1:11" ht="12" customHeight="1" x14ac:dyDescent="0.3">
      <c r="A5" s="128" t="s">
        <v>7</v>
      </c>
      <c r="B5" s="127" t="s">
        <v>8</v>
      </c>
      <c r="C5" s="71" t="s">
        <v>9</v>
      </c>
      <c r="D5" s="9">
        <f>'EA_aruanne analüüs'!D5</f>
        <v>5184730.38</v>
      </c>
      <c r="E5" s="9">
        <v>5051022</v>
      </c>
      <c r="F5" s="9">
        <f>'EA_aruanne analüüs'!F5</f>
        <v>5288424.9875999996</v>
      </c>
      <c r="G5" s="9">
        <f>'EA_aruanne analüüs'!G5</f>
        <v>0</v>
      </c>
      <c r="H5" s="9">
        <f>'EA_aruanne analüüs'!H5</f>
        <v>0</v>
      </c>
      <c r="I5" s="9">
        <f>SUM(F5:H5)</f>
        <v>5288424.9875999996</v>
      </c>
      <c r="J5" s="9">
        <f>F5-D5</f>
        <v>103694.60759999976</v>
      </c>
      <c r="K5" s="10">
        <f>(F5-D5)/D5</f>
        <v>1.9999999999999952E-2</v>
      </c>
    </row>
    <row r="6" spans="1:11" ht="12" customHeight="1" x14ac:dyDescent="0.3">
      <c r="A6" s="129"/>
      <c r="B6" s="127"/>
      <c r="C6" s="71" t="s">
        <v>10</v>
      </c>
      <c r="D6" s="9">
        <f>'EA_aruanne analüüs'!D6</f>
        <v>512000</v>
      </c>
      <c r="E6" s="9">
        <v>510259</v>
      </c>
      <c r="F6" s="9">
        <f>'EA_aruanne analüüs'!F6</f>
        <v>490000</v>
      </c>
      <c r="G6" s="9">
        <f>'EA_aruanne analüüs'!G6</f>
        <v>0</v>
      </c>
      <c r="H6" s="9">
        <f>'EA_aruanne analüüs'!H6</f>
        <v>0</v>
      </c>
      <c r="I6" s="9">
        <f>SUM(F6:H6)</f>
        <v>490000</v>
      </c>
      <c r="J6" s="9">
        <f>F6-D6</f>
        <v>-22000</v>
      </c>
      <c r="K6" s="10">
        <f>(F6-D6)/D6</f>
        <v>-4.296875E-2</v>
      </c>
    </row>
    <row r="7" spans="1:11" ht="12" customHeight="1" x14ac:dyDescent="0.3">
      <c r="A7" s="129"/>
      <c r="B7" s="127"/>
      <c r="C7" s="72" t="s">
        <v>11</v>
      </c>
      <c r="D7" s="12">
        <f t="shared" ref="D7:I7" si="0">D5+D6</f>
        <v>5696730.3799999999</v>
      </c>
      <c r="E7" s="12">
        <f t="shared" si="0"/>
        <v>5561281</v>
      </c>
      <c r="F7" s="12">
        <f t="shared" si="0"/>
        <v>5778424.9875999996</v>
      </c>
      <c r="G7" s="12">
        <f t="shared" si="0"/>
        <v>0</v>
      </c>
      <c r="H7" s="12">
        <f t="shared" si="0"/>
        <v>0</v>
      </c>
      <c r="I7" s="12">
        <f t="shared" si="0"/>
        <v>5778424.9875999996</v>
      </c>
      <c r="J7" s="12">
        <f>F7-D7</f>
        <v>81694.607599999756</v>
      </c>
      <c r="K7" s="13">
        <f>(F7-D7)/D7</f>
        <v>1.4340613325638865E-2</v>
      </c>
    </row>
    <row r="8" spans="1:11" ht="12" customHeight="1" x14ac:dyDescent="0.3">
      <c r="A8" s="129"/>
      <c r="B8" s="76"/>
      <c r="C8" s="75" t="s">
        <v>12</v>
      </c>
      <c r="D8" s="12">
        <f>'EA_aruanne analüüs'!D8</f>
        <v>1354512.1300000001</v>
      </c>
      <c r="E8" s="12">
        <v>1271217.26</v>
      </c>
      <c r="F8" s="12">
        <f>'EA_aruanne analüüs'!F8</f>
        <v>1620916.4100000001</v>
      </c>
      <c r="G8" s="12">
        <f>'EA_aruanne analüüs'!G8</f>
        <v>0</v>
      </c>
      <c r="H8" s="12">
        <f>'EA_aruanne analüüs'!H8</f>
        <v>0</v>
      </c>
      <c r="I8" s="12">
        <f>SUM(F8:H8)</f>
        <v>1620916.4100000001</v>
      </c>
      <c r="J8" s="12">
        <f t="shared" ref="J8:J96" si="1">F8-D8</f>
        <v>266404.28000000003</v>
      </c>
      <c r="K8" s="13">
        <f>(F8-D8)/D8</f>
        <v>0.1966791393739678</v>
      </c>
    </row>
    <row r="9" spans="1:11" ht="12" customHeight="1" x14ac:dyDescent="0.3">
      <c r="A9" s="129"/>
      <c r="B9" s="131" t="s">
        <v>13</v>
      </c>
      <c r="C9" s="71" t="s">
        <v>14</v>
      </c>
      <c r="D9" s="9">
        <f>'EA_aruanne analüüs'!D9</f>
        <v>1312402</v>
      </c>
      <c r="E9" s="9">
        <v>933202</v>
      </c>
      <c r="F9" s="15">
        <f>'EA_aruanne analüüs'!F9</f>
        <v>1376806</v>
      </c>
      <c r="G9" s="15">
        <f>'EA_aruanne analüüs'!G9</f>
        <v>0</v>
      </c>
      <c r="H9" s="15">
        <f>'EA_aruanne analüüs'!H9</f>
        <v>0</v>
      </c>
      <c r="I9" s="15">
        <f>SUM(F9:H9)</f>
        <v>1376806</v>
      </c>
      <c r="J9" s="9">
        <f t="shared" si="1"/>
        <v>64404</v>
      </c>
      <c r="K9" s="10">
        <f t="shared" ref="K9:K96" si="2">(F9-D9)/D9</f>
        <v>4.907337843130382E-2</v>
      </c>
    </row>
    <row r="10" spans="1:11" ht="12" customHeight="1" x14ac:dyDescent="0.3">
      <c r="A10" s="129"/>
      <c r="B10" s="131"/>
      <c r="C10" s="71" t="s">
        <v>15</v>
      </c>
      <c r="D10" s="9">
        <f>'EA_aruanne analüüs'!D10</f>
        <v>3029449</v>
      </c>
      <c r="E10" s="9">
        <v>2951189</v>
      </c>
      <c r="F10" s="15">
        <f>'EA_aruanne analüüs'!F10</f>
        <v>2984584</v>
      </c>
      <c r="G10" s="15">
        <f>'EA_aruanne analüüs'!G10</f>
        <v>0</v>
      </c>
      <c r="H10" s="15">
        <f>'EA_aruanne analüüs'!H10</f>
        <v>0</v>
      </c>
      <c r="I10" s="15">
        <f>SUM(F10:H10)</f>
        <v>2984584</v>
      </c>
      <c r="J10" s="9">
        <f t="shared" si="1"/>
        <v>-44865</v>
      </c>
      <c r="K10" s="10">
        <f t="shared" si="2"/>
        <v>-1.4809623796274504E-2</v>
      </c>
    </row>
    <row r="11" spans="1:11" ht="12" customHeight="1" x14ac:dyDescent="0.3">
      <c r="A11" s="129"/>
      <c r="B11" s="131"/>
      <c r="C11" s="71" t="s">
        <v>16</v>
      </c>
      <c r="D11" s="9">
        <f>'EA_aruanne analüüs'!D11</f>
        <v>147847.93</v>
      </c>
      <c r="E11" s="9">
        <v>185721.92</v>
      </c>
      <c r="F11" s="15">
        <f>'EA_aruanne analüüs'!F11</f>
        <v>44000</v>
      </c>
      <c r="G11" s="15">
        <f>'EA_aruanne analüüs'!G11</f>
        <v>0</v>
      </c>
      <c r="H11" s="15">
        <f>'EA_aruanne analüüs'!H11</f>
        <v>0</v>
      </c>
      <c r="I11" s="15">
        <f>SUM(F11:H11)</f>
        <v>44000</v>
      </c>
      <c r="J11" s="9">
        <f t="shared" si="1"/>
        <v>-103847.93</v>
      </c>
      <c r="K11" s="10">
        <f t="shared" si="2"/>
        <v>-0.70239691553341332</v>
      </c>
    </row>
    <row r="12" spans="1:11" ht="12" customHeight="1" x14ac:dyDescent="0.3">
      <c r="A12" s="129"/>
      <c r="B12" s="131"/>
      <c r="C12" s="72" t="s">
        <v>17</v>
      </c>
      <c r="D12" s="12">
        <f t="shared" ref="D12:I12" si="3">SUM(D9:D11)</f>
        <v>4489698.93</v>
      </c>
      <c r="E12" s="12">
        <f t="shared" si="3"/>
        <v>4070112.92</v>
      </c>
      <c r="F12" s="12">
        <f t="shared" si="3"/>
        <v>4405390</v>
      </c>
      <c r="G12" s="12">
        <f t="shared" si="3"/>
        <v>0</v>
      </c>
      <c r="H12" s="12">
        <f t="shared" si="3"/>
        <v>0</v>
      </c>
      <c r="I12" s="12">
        <f t="shared" si="3"/>
        <v>4405390</v>
      </c>
      <c r="J12" s="12">
        <f t="shared" si="1"/>
        <v>-84308.929999999702</v>
      </c>
      <c r="K12" s="13">
        <f t="shared" si="2"/>
        <v>-1.8778303693517309E-2</v>
      </c>
    </row>
    <row r="13" spans="1:11" ht="12" customHeight="1" x14ac:dyDescent="0.3">
      <c r="A13" s="129"/>
      <c r="B13" s="127" t="s">
        <v>18</v>
      </c>
      <c r="C13" s="71" t="s">
        <v>19</v>
      </c>
      <c r="D13" s="9">
        <f>'EA_aruanne analüüs'!D13</f>
        <v>21000</v>
      </c>
      <c r="E13" s="9">
        <v>38629.51</v>
      </c>
      <c r="F13" s="9">
        <f>'EA_aruanne analüüs'!F13</f>
        <v>17100</v>
      </c>
      <c r="G13" s="9">
        <f>'EA_aruanne analüüs'!G13</f>
        <v>0</v>
      </c>
      <c r="H13" s="9">
        <f>'EA_aruanne analüüs'!H13</f>
        <v>0</v>
      </c>
      <c r="I13" s="9">
        <f>SUM(F13:H13)</f>
        <v>17100</v>
      </c>
      <c r="J13" s="9">
        <f t="shared" si="1"/>
        <v>-3900</v>
      </c>
      <c r="K13" s="10">
        <f t="shared" si="2"/>
        <v>-0.18571428571428572</v>
      </c>
    </row>
    <row r="14" spans="1:11" ht="12" customHeight="1" x14ac:dyDescent="0.3">
      <c r="A14" s="129"/>
      <c r="B14" s="127"/>
      <c r="C14" s="71" t="s">
        <v>20</v>
      </c>
      <c r="D14" s="9">
        <f>'EA_aruanne analüüs'!D14</f>
        <v>17066.79</v>
      </c>
      <c r="E14" s="9">
        <v>13344.85</v>
      </c>
      <c r="F14" s="9">
        <f>'EA_aruanne analüüs'!F14</f>
        <v>14900</v>
      </c>
      <c r="G14" s="9">
        <f>'EA_aruanne analüüs'!G14</f>
        <v>0</v>
      </c>
      <c r="H14" s="9">
        <f>'EA_aruanne analüüs'!H14</f>
        <v>0</v>
      </c>
      <c r="I14" s="9">
        <f>SUM(F14:H14)</f>
        <v>14900</v>
      </c>
      <c r="J14" s="9">
        <f t="shared" si="1"/>
        <v>-2166.7900000000009</v>
      </c>
      <c r="K14" s="10">
        <f t="shared" si="2"/>
        <v>-0.12695943408221469</v>
      </c>
    </row>
    <row r="15" spans="1:11" ht="12" customHeight="1" x14ac:dyDescent="0.3">
      <c r="A15" s="129"/>
      <c r="B15" s="127"/>
      <c r="C15" s="71" t="s">
        <v>21</v>
      </c>
      <c r="D15" s="9">
        <f>'EA_aruanne analüüs'!D15</f>
        <v>0</v>
      </c>
      <c r="E15" s="9">
        <v>0</v>
      </c>
      <c r="F15" s="9">
        <f>'EA_aruanne analüüs'!F15</f>
        <v>0</v>
      </c>
      <c r="G15" s="9">
        <f>'EA_aruanne analüüs'!G15</f>
        <v>0</v>
      </c>
      <c r="H15" s="9">
        <f>'EA_aruanne analüüs'!H15</f>
        <v>0</v>
      </c>
      <c r="I15" s="9">
        <f>SUM(F15:H15)</f>
        <v>0</v>
      </c>
      <c r="J15" s="9">
        <f t="shared" si="1"/>
        <v>0</v>
      </c>
      <c r="K15" s="10">
        <v>0</v>
      </c>
    </row>
    <row r="16" spans="1:11" ht="12" customHeight="1" x14ac:dyDescent="0.3">
      <c r="A16" s="129"/>
      <c r="B16" s="127"/>
      <c r="C16" s="71" t="s">
        <v>18</v>
      </c>
      <c r="D16" s="9">
        <f>'EA_aruanne analüüs'!D16</f>
        <v>0</v>
      </c>
      <c r="E16" s="9">
        <v>1435.95</v>
      </c>
      <c r="F16" s="9">
        <f>'EA_aruanne analüüs'!F16</f>
        <v>0</v>
      </c>
      <c r="G16" s="9">
        <f>'EA_aruanne analüüs'!G16</f>
        <v>0</v>
      </c>
      <c r="H16" s="9">
        <f>'EA_aruanne analüüs'!H16</f>
        <v>0</v>
      </c>
      <c r="I16" s="9">
        <f>SUM(F16:H16)</f>
        <v>0</v>
      </c>
      <c r="J16" s="9">
        <f t="shared" si="1"/>
        <v>0</v>
      </c>
      <c r="K16" s="10">
        <v>0</v>
      </c>
    </row>
    <row r="17" spans="1:11" ht="12" customHeight="1" x14ac:dyDescent="0.3">
      <c r="A17" s="129"/>
      <c r="B17" s="127"/>
      <c r="C17" s="72" t="s">
        <v>22</v>
      </c>
      <c r="D17" s="12">
        <f t="shared" ref="D17:I17" si="4">SUM(D13:D16)</f>
        <v>38066.79</v>
      </c>
      <c r="E17" s="12">
        <f t="shared" si="4"/>
        <v>53410.31</v>
      </c>
      <c r="F17" s="12">
        <f t="shared" si="4"/>
        <v>32000</v>
      </c>
      <c r="G17" s="12">
        <f t="shared" si="4"/>
        <v>0</v>
      </c>
      <c r="H17" s="12">
        <f t="shared" si="4"/>
        <v>0</v>
      </c>
      <c r="I17" s="12">
        <f t="shared" si="4"/>
        <v>32000</v>
      </c>
      <c r="J17" s="12">
        <f t="shared" si="1"/>
        <v>-6066.7900000000009</v>
      </c>
      <c r="K17" s="13">
        <f t="shared" si="2"/>
        <v>-0.15937225072037858</v>
      </c>
    </row>
    <row r="18" spans="1:11" ht="12" customHeight="1" x14ac:dyDescent="0.3">
      <c r="A18" s="130"/>
      <c r="B18" s="132" t="s">
        <v>23</v>
      </c>
      <c r="C18" s="132"/>
      <c r="D18" s="16">
        <f t="shared" ref="D18:I18" si="5">D7+D8+D12+D17</f>
        <v>11579008.229999999</v>
      </c>
      <c r="E18" s="16">
        <f t="shared" si="5"/>
        <v>10956021.49</v>
      </c>
      <c r="F18" s="16">
        <f t="shared" si="5"/>
        <v>11836731.397599999</v>
      </c>
      <c r="G18" s="16">
        <f t="shared" si="5"/>
        <v>0</v>
      </c>
      <c r="H18" s="16">
        <f t="shared" si="5"/>
        <v>0</v>
      </c>
      <c r="I18" s="16">
        <f t="shared" si="5"/>
        <v>11836731.397599999</v>
      </c>
      <c r="J18" s="16">
        <f t="shared" si="1"/>
        <v>257723.16760000028</v>
      </c>
      <c r="K18" s="17">
        <f t="shared" si="2"/>
        <v>2.2257792937072668E-2</v>
      </c>
    </row>
    <row r="19" spans="1:11" ht="12" customHeight="1" x14ac:dyDescent="0.3">
      <c r="A19" s="128" t="s">
        <v>24</v>
      </c>
      <c r="B19" s="131" t="s">
        <v>25</v>
      </c>
      <c r="C19" s="71" t="s">
        <v>26</v>
      </c>
      <c r="D19" s="9">
        <f>'EA_aruanne analüüs'!D19</f>
        <v>-761101.81</v>
      </c>
      <c r="E19" s="9">
        <v>-666861.03</v>
      </c>
      <c r="F19" s="9">
        <f>'EA_aruanne analüüs'!F19</f>
        <v>-697006</v>
      </c>
      <c r="G19" s="9">
        <f>'EA_aruanne analüüs'!G19</f>
        <v>0</v>
      </c>
      <c r="H19" s="9">
        <f>'EA_aruanne analüüs'!H19</f>
        <v>0</v>
      </c>
      <c r="I19" s="9">
        <f t="shared" ref="I19:I21" si="6">SUM(F19:H19)</f>
        <v>-697006</v>
      </c>
      <c r="J19" s="9">
        <f>F19-D19</f>
        <v>64095.810000000056</v>
      </c>
      <c r="K19" s="10">
        <f t="shared" si="2"/>
        <v>-8.4214502130799104E-2</v>
      </c>
    </row>
    <row r="20" spans="1:11" ht="12" customHeight="1" x14ac:dyDescent="0.3">
      <c r="A20" s="129"/>
      <c r="B20" s="131"/>
      <c r="C20" s="71" t="s">
        <v>27</v>
      </c>
      <c r="D20" s="9">
        <f>'EA_aruanne analüüs'!D20</f>
        <v>-340240.34499999997</v>
      </c>
      <c r="E20" s="9">
        <v>-246483.22</v>
      </c>
      <c r="F20" s="9">
        <f>'EA_aruanne analüüs'!F20</f>
        <v>-323501.48</v>
      </c>
      <c r="G20" s="9">
        <f>'EA_aruanne analüüs'!G20</f>
        <v>0</v>
      </c>
      <c r="H20" s="9">
        <f>'EA_aruanne analüüs'!H20</f>
        <v>0</v>
      </c>
      <c r="I20" s="9">
        <f t="shared" si="6"/>
        <v>-323501.48</v>
      </c>
      <c r="J20" s="9">
        <f t="shared" si="1"/>
        <v>16738.864999999991</v>
      </c>
      <c r="K20" s="10">
        <f t="shared" si="2"/>
        <v>-4.9197178541539488E-2</v>
      </c>
    </row>
    <row r="21" spans="1:11" ht="12" customHeight="1" x14ac:dyDescent="0.3">
      <c r="A21" s="129"/>
      <c r="B21" s="131"/>
      <c r="C21" s="71" t="s">
        <v>28</v>
      </c>
      <c r="D21" s="9">
        <f>'EA_aruanne analüüs'!D21</f>
        <v>-36875</v>
      </c>
      <c r="E21" s="9">
        <v>-33723.519999999997</v>
      </c>
      <c r="F21" s="9">
        <f>'EA_aruanne analüüs'!F21</f>
        <v>-36671</v>
      </c>
      <c r="G21" s="9">
        <f>'EA_aruanne analüüs'!G21</f>
        <v>0</v>
      </c>
      <c r="H21" s="9">
        <f>'EA_aruanne analüüs'!H21</f>
        <v>0</v>
      </c>
      <c r="I21" s="9">
        <f t="shared" si="6"/>
        <v>-36671</v>
      </c>
      <c r="J21" s="9">
        <f t="shared" si="1"/>
        <v>204</v>
      </c>
      <c r="K21" s="10">
        <f t="shared" si="2"/>
        <v>-5.5322033898305084E-3</v>
      </c>
    </row>
    <row r="22" spans="1:11" ht="12" customHeight="1" x14ac:dyDescent="0.3">
      <c r="A22" s="129"/>
      <c r="B22" s="131"/>
      <c r="C22" s="73" t="s">
        <v>29</v>
      </c>
      <c r="D22" s="19">
        <f t="shared" ref="D22:I22" si="7">SUM(D19:D21)</f>
        <v>-1138217.155</v>
      </c>
      <c r="E22" s="19">
        <f t="shared" si="7"/>
        <v>-947067.77</v>
      </c>
      <c r="F22" s="19">
        <f t="shared" si="7"/>
        <v>-1057178.48</v>
      </c>
      <c r="G22" s="19">
        <f t="shared" si="7"/>
        <v>0</v>
      </c>
      <c r="H22" s="19">
        <f t="shared" si="7"/>
        <v>0</v>
      </c>
      <c r="I22" s="19">
        <f t="shared" si="7"/>
        <v>-1057178.48</v>
      </c>
      <c r="J22" s="19">
        <f t="shared" si="1"/>
        <v>81038.675000000047</v>
      </c>
      <c r="K22" s="20">
        <f t="shared" si="2"/>
        <v>-7.1197903356148284E-2</v>
      </c>
    </row>
    <row r="23" spans="1:11" ht="12" customHeight="1" x14ac:dyDescent="0.3">
      <c r="A23" s="129"/>
      <c r="B23" s="127" t="s">
        <v>30</v>
      </c>
      <c r="C23" s="71" t="s">
        <v>31</v>
      </c>
      <c r="D23" s="9">
        <f>'EA_aruanne analüüs'!D23</f>
        <v>-6301201.4106666679</v>
      </c>
      <c r="E23" s="9">
        <v>-6017351.9299999997</v>
      </c>
      <c r="F23" s="9">
        <f>'EA_aruanne analüüs'!F23</f>
        <v>-6797594.0660000034</v>
      </c>
      <c r="G23" s="9">
        <f>'EA_aruanne analüüs'!G23</f>
        <v>0</v>
      </c>
      <c r="H23" s="9">
        <f>'EA_aruanne analüüs'!H23</f>
        <v>0</v>
      </c>
      <c r="I23" s="9">
        <f t="shared" ref="I23:I25" si="8">SUM(F23:H23)</f>
        <v>-6797594.0660000034</v>
      </c>
      <c r="J23" s="9">
        <f t="shared" si="1"/>
        <v>-496392.65533333551</v>
      </c>
      <c r="K23" s="10">
        <f t="shared" si="2"/>
        <v>7.8777462103185994E-2</v>
      </c>
    </row>
    <row r="24" spans="1:11" ht="12" customHeight="1" x14ac:dyDescent="0.3">
      <c r="A24" s="129"/>
      <c r="B24" s="127"/>
      <c r="C24" s="71" t="s">
        <v>32</v>
      </c>
      <c r="D24" s="9">
        <f>'EA_aruanne analüüs'!D24</f>
        <v>-3963669.2900000014</v>
      </c>
      <c r="E24" s="9">
        <v>-3585443.01</v>
      </c>
      <c r="F24" s="9">
        <f>'EA_aruanne analüüs'!F24</f>
        <v>-3872523.3200000003</v>
      </c>
      <c r="G24" s="9">
        <f>'EA_aruanne analüüs'!G24</f>
        <v>0</v>
      </c>
      <c r="H24" s="9">
        <f>'EA_aruanne analüüs'!H24</f>
        <v>0</v>
      </c>
      <c r="I24" s="9">
        <f t="shared" si="8"/>
        <v>-3872523.3200000003</v>
      </c>
      <c r="J24" s="9">
        <f t="shared" si="1"/>
        <v>91145.970000001136</v>
      </c>
      <c r="K24" s="10">
        <f t="shared" si="2"/>
        <v>-2.2995351864988994E-2</v>
      </c>
    </row>
    <row r="25" spans="1:11" ht="12" customHeight="1" x14ac:dyDescent="0.3">
      <c r="A25" s="129"/>
      <c r="B25" s="127"/>
      <c r="C25" s="71" t="s">
        <v>33</v>
      </c>
      <c r="D25" s="9">
        <f>'EA_aruanne analüüs'!D25</f>
        <v>-31165.837750000006</v>
      </c>
      <c r="E25" s="9">
        <v>-837.73</v>
      </c>
      <c r="F25" s="9">
        <f>'EA_aruanne analüüs'!F25</f>
        <v>-62123.656987999995</v>
      </c>
      <c r="G25" s="9">
        <f>'EA_aruanne analüüs'!G25</f>
        <v>0</v>
      </c>
      <c r="H25" s="9">
        <f>'EA_aruanne analüüs'!H25</f>
        <v>0</v>
      </c>
      <c r="I25" s="9">
        <f t="shared" si="8"/>
        <v>-62123.656987999995</v>
      </c>
      <c r="J25" s="9">
        <f t="shared" si="1"/>
        <v>-30957.819237999989</v>
      </c>
      <c r="K25" s="10">
        <f t="shared" si="2"/>
        <v>0.99332543172210996</v>
      </c>
    </row>
    <row r="26" spans="1:11" ht="12" customHeight="1" x14ac:dyDescent="0.3">
      <c r="A26" s="129"/>
      <c r="B26" s="127"/>
      <c r="C26" s="72" t="s">
        <v>34</v>
      </c>
      <c r="D26" s="19">
        <f>SUM(D23:D25)</f>
        <v>-10296036.538416671</v>
      </c>
      <c r="E26" s="19">
        <f>SUM(E23:E25)</f>
        <v>-9603632.6699999999</v>
      </c>
      <c r="F26" s="19">
        <f>SUM(F23:F25)</f>
        <v>-10732241.042988004</v>
      </c>
      <c r="G26" s="19">
        <f>SUM(G23:G25)</f>
        <v>0</v>
      </c>
      <c r="H26" s="19">
        <f>SUM(H23:H25)</f>
        <v>0</v>
      </c>
      <c r="I26" s="19">
        <f t="shared" ref="I26" si="9">SUM(F26:G26)</f>
        <v>-10732241.042988004</v>
      </c>
      <c r="J26" s="19">
        <f t="shared" si="1"/>
        <v>-436204.50457133353</v>
      </c>
      <c r="K26" s="20">
        <f t="shared" si="2"/>
        <v>4.2366254523647333E-2</v>
      </c>
    </row>
    <row r="27" spans="1:11" ht="12" customHeight="1" x14ac:dyDescent="0.3">
      <c r="A27" s="130"/>
      <c r="B27" s="133" t="s">
        <v>35</v>
      </c>
      <c r="C27" s="133"/>
      <c r="D27" s="21">
        <f t="shared" ref="D27:I27" si="10">D22+D26</f>
        <v>-11434253.69341667</v>
      </c>
      <c r="E27" s="21">
        <f t="shared" si="10"/>
        <v>-10550700.439999999</v>
      </c>
      <c r="F27" s="21">
        <f t="shared" si="10"/>
        <v>-11789419.522988005</v>
      </c>
      <c r="G27" s="21">
        <f t="shared" si="10"/>
        <v>0</v>
      </c>
      <c r="H27" s="21">
        <f t="shared" si="10"/>
        <v>0</v>
      </c>
      <c r="I27" s="21">
        <f t="shared" si="10"/>
        <v>-11789419.522988005</v>
      </c>
      <c r="J27" s="21">
        <f t="shared" si="1"/>
        <v>-355165.82957133465</v>
      </c>
      <c r="K27" s="22">
        <f t="shared" si="2"/>
        <v>3.1061566333430504E-2</v>
      </c>
    </row>
    <row r="28" spans="1:11" ht="12" customHeight="1" x14ac:dyDescent="0.3">
      <c r="A28" s="132" t="s">
        <v>36</v>
      </c>
      <c r="B28" s="132"/>
      <c r="C28" s="132"/>
      <c r="D28" s="16">
        <f t="shared" ref="D28:I28" si="11">D18+D27</f>
        <v>144754.53658332862</v>
      </c>
      <c r="E28" s="16">
        <f t="shared" si="11"/>
        <v>405321.05000000075</v>
      </c>
      <c r="F28" s="16">
        <f t="shared" si="11"/>
        <v>47311.874611994252</v>
      </c>
      <c r="G28" s="16">
        <f t="shared" si="11"/>
        <v>0</v>
      </c>
      <c r="H28" s="16">
        <f t="shared" si="11"/>
        <v>0</v>
      </c>
      <c r="I28" s="16">
        <f t="shared" si="11"/>
        <v>47311.874611994252</v>
      </c>
      <c r="J28" s="16">
        <f t="shared" si="1"/>
        <v>-97442.661971334368</v>
      </c>
      <c r="K28" s="17">
        <f t="shared" si="2"/>
        <v>-0.67315791457244623</v>
      </c>
    </row>
    <row r="29" spans="1:11" ht="12" customHeight="1" x14ac:dyDescent="0.3">
      <c r="A29" s="134" t="s">
        <v>37</v>
      </c>
      <c r="B29" s="127" t="s">
        <v>38</v>
      </c>
      <c r="C29" s="127"/>
      <c r="D29" s="9">
        <f>'EA_aruanne analüüs'!D29</f>
        <v>23677</v>
      </c>
      <c r="E29" s="9">
        <v>39464</v>
      </c>
      <c r="F29" s="9">
        <f>'EA_aruanne analüüs'!F29</f>
        <v>0</v>
      </c>
      <c r="G29" s="9">
        <f>'EA_aruanne analüüs'!G29</f>
        <v>0</v>
      </c>
      <c r="H29" s="9">
        <f>'EA_aruanne analüüs'!H29</f>
        <v>0</v>
      </c>
      <c r="I29" s="9">
        <f t="shared" ref="I29:I35" si="12">SUM(F29:H29)</f>
        <v>0</v>
      </c>
      <c r="J29" s="9">
        <f t="shared" si="1"/>
        <v>-23677</v>
      </c>
      <c r="K29" s="10">
        <f>(F29-D29)/D29</f>
        <v>-1</v>
      </c>
    </row>
    <row r="30" spans="1:11" ht="12" customHeight="1" x14ac:dyDescent="0.3">
      <c r="A30" s="134"/>
      <c r="B30" s="127" t="s">
        <v>39</v>
      </c>
      <c r="C30" s="127"/>
      <c r="D30" s="9">
        <f>'EA_aruanne analüüs'!D30</f>
        <v>-2865346.15</v>
      </c>
      <c r="E30" s="9">
        <v>-597440.56000000006</v>
      </c>
      <c r="F30" s="9">
        <f>'EA_aruanne analüüs'!F30</f>
        <v>-2464710.6399999997</v>
      </c>
      <c r="G30" s="9">
        <f>'EA_aruanne analüüs'!G30</f>
        <v>0</v>
      </c>
      <c r="H30" s="9">
        <f>'EA_aruanne analüüs'!H30</f>
        <v>0</v>
      </c>
      <c r="I30" s="9">
        <f t="shared" si="12"/>
        <v>-2464710.6399999997</v>
      </c>
      <c r="J30" s="9">
        <f t="shared" si="1"/>
        <v>400635.51000000024</v>
      </c>
      <c r="K30" s="10">
        <f t="shared" si="2"/>
        <v>-0.13982098114044625</v>
      </c>
    </row>
    <row r="31" spans="1:11" ht="12" customHeight="1" x14ac:dyDescent="0.3">
      <c r="A31" s="134"/>
      <c r="B31" s="127" t="s">
        <v>40</v>
      </c>
      <c r="C31" s="127"/>
      <c r="D31" s="9">
        <f>'EA_aruanne analüüs'!D31</f>
        <v>1319206.8400000001</v>
      </c>
      <c r="E31" s="9">
        <v>267875</v>
      </c>
      <c r="F31" s="9">
        <f>'EA_aruanne analüüs'!F31</f>
        <v>970075</v>
      </c>
      <c r="G31" s="9">
        <f>'EA_aruanne analüüs'!G31</f>
        <v>0</v>
      </c>
      <c r="H31" s="9">
        <f>'EA_aruanne analüüs'!H31</f>
        <v>0</v>
      </c>
      <c r="I31" s="9">
        <f t="shared" si="12"/>
        <v>970075</v>
      </c>
      <c r="J31" s="9">
        <f t="shared" si="1"/>
        <v>-349131.84000000008</v>
      </c>
      <c r="K31" s="10">
        <f t="shared" si="2"/>
        <v>-0.2646528424610049</v>
      </c>
    </row>
    <row r="32" spans="1:11" ht="12" customHeight="1" x14ac:dyDescent="0.3">
      <c r="A32" s="134"/>
      <c r="B32" s="127" t="s">
        <v>41</v>
      </c>
      <c r="C32" s="127"/>
      <c r="D32" s="9">
        <f>'EA_aruanne analüüs'!D32</f>
        <v>-181187</v>
      </c>
      <c r="E32" s="9">
        <v>-984479.62</v>
      </c>
      <c r="F32" s="9">
        <f>'EA_aruanne analüüs'!F32</f>
        <v>-169729</v>
      </c>
      <c r="G32" s="9">
        <f>'EA_aruanne analüüs'!G32</f>
        <v>0</v>
      </c>
      <c r="H32" s="9">
        <f>'EA_aruanne analüüs'!H32</f>
        <v>0</v>
      </c>
      <c r="I32" s="9">
        <f t="shared" si="12"/>
        <v>-169729</v>
      </c>
      <c r="J32" s="9">
        <f t="shared" si="1"/>
        <v>11458</v>
      </c>
      <c r="K32" s="10">
        <f t="shared" si="2"/>
        <v>-6.3238532565802183E-2</v>
      </c>
    </row>
    <row r="33" spans="1:11" ht="12" customHeight="1" x14ac:dyDescent="0.3">
      <c r="A33" s="134"/>
      <c r="B33" s="127" t="s">
        <v>998</v>
      </c>
      <c r="C33" s="127"/>
      <c r="D33" s="9">
        <f>'EA_aruanne analüüs'!D33</f>
        <v>-700000</v>
      </c>
      <c r="E33" s="9">
        <v>0</v>
      </c>
      <c r="F33" s="9">
        <f>'EA_aruanne analüüs'!F33</f>
        <v>-300000</v>
      </c>
      <c r="G33" s="9">
        <f>'EA_aruanne analüüs'!G33</f>
        <v>0</v>
      </c>
      <c r="H33" s="9">
        <f>'EA_aruanne analüüs'!H33</f>
        <v>0</v>
      </c>
      <c r="I33" s="9">
        <f t="shared" si="12"/>
        <v>-300000</v>
      </c>
      <c r="J33" s="9">
        <f t="shared" si="1"/>
        <v>400000</v>
      </c>
      <c r="K33" s="10">
        <f t="shared" si="2"/>
        <v>-0.5714285714285714</v>
      </c>
    </row>
    <row r="34" spans="1:11" ht="12" customHeight="1" x14ac:dyDescent="0.3">
      <c r="A34" s="134"/>
      <c r="B34" s="127" t="s">
        <v>42</v>
      </c>
      <c r="C34" s="127"/>
      <c r="D34" s="9">
        <f>'EA_aruanne analüüs'!D34</f>
        <v>130</v>
      </c>
      <c r="E34" s="9">
        <v>137.53</v>
      </c>
      <c r="F34" s="9">
        <f>'EA_aruanne analüüs'!F34</f>
        <v>0</v>
      </c>
      <c r="G34" s="9">
        <f>'EA_aruanne analüüs'!G34</f>
        <v>0</v>
      </c>
      <c r="H34" s="9">
        <f>'EA_aruanne analüüs'!H34</f>
        <v>0</v>
      </c>
      <c r="I34" s="9">
        <f t="shared" si="12"/>
        <v>0</v>
      </c>
      <c r="J34" s="9">
        <f t="shared" si="1"/>
        <v>-130</v>
      </c>
      <c r="K34" s="10">
        <f t="shared" si="2"/>
        <v>-1</v>
      </c>
    </row>
    <row r="35" spans="1:11" ht="12" customHeight="1" x14ac:dyDescent="0.3">
      <c r="A35" s="134"/>
      <c r="B35" s="127" t="s">
        <v>43</v>
      </c>
      <c r="C35" s="127"/>
      <c r="D35" s="9">
        <f>'EA_aruanne analüüs'!D35</f>
        <v>-33847.94</v>
      </c>
      <c r="E35" s="9">
        <v>-32624.03</v>
      </c>
      <c r="F35" s="9">
        <f>'EA_aruanne analüüs'!F35</f>
        <v>-39901.69</v>
      </c>
      <c r="G35" s="9">
        <f>'EA_aruanne analüüs'!G35</f>
        <v>0</v>
      </c>
      <c r="H35" s="9">
        <f>'EA_aruanne analüüs'!H35</f>
        <v>0</v>
      </c>
      <c r="I35" s="9">
        <f t="shared" si="12"/>
        <v>-39901.69</v>
      </c>
      <c r="J35" s="9">
        <f t="shared" si="1"/>
        <v>-6053.75</v>
      </c>
      <c r="K35" s="10">
        <f t="shared" si="2"/>
        <v>0.17885135698066115</v>
      </c>
    </row>
    <row r="36" spans="1:11" ht="12" customHeight="1" x14ac:dyDescent="0.3">
      <c r="A36" s="134"/>
      <c r="B36" s="133" t="s">
        <v>44</v>
      </c>
      <c r="C36" s="133"/>
      <c r="D36" s="19">
        <f>SUM(D29:D35)</f>
        <v>-2437367.2499999995</v>
      </c>
      <c r="E36" s="19">
        <f>SUM(E29:E35)</f>
        <v>-1307067.6800000002</v>
      </c>
      <c r="F36" s="19">
        <f>SUM(F29:F35)</f>
        <v>-2004266.3299999996</v>
      </c>
      <c r="G36" s="19">
        <f>SUM(G29:G35)</f>
        <v>0</v>
      </c>
      <c r="H36" s="19">
        <f>SUM(H29:H35)</f>
        <v>0</v>
      </c>
      <c r="I36" s="19">
        <f t="shared" ref="I36:I42" si="13">SUM(F36:G36)</f>
        <v>-2004266.3299999996</v>
      </c>
      <c r="J36" s="19">
        <f t="shared" si="1"/>
        <v>433100.91999999993</v>
      </c>
      <c r="K36" s="20">
        <f t="shared" si="2"/>
        <v>-0.17769210610341959</v>
      </c>
    </row>
    <row r="37" spans="1:11" ht="12" customHeight="1" x14ac:dyDescent="0.3">
      <c r="A37" s="132" t="s">
        <v>45</v>
      </c>
      <c r="B37" s="132"/>
      <c r="C37" s="132"/>
      <c r="D37" s="12">
        <f>D28+D36</f>
        <v>-2292612.7134166709</v>
      </c>
      <c r="E37" s="12">
        <f>E28+E36</f>
        <v>-901746.62999999942</v>
      </c>
      <c r="F37" s="12">
        <f>F28+F36</f>
        <v>-1956954.4553880054</v>
      </c>
      <c r="G37" s="12">
        <f>G28+G36</f>
        <v>0</v>
      </c>
      <c r="H37" s="12">
        <f>H28+H36</f>
        <v>0</v>
      </c>
      <c r="I37" s="12">
        <f t="shared" si="13"/>
        <v>-1956954.4553880054</v>
      </c>
      <c r="J37" s="12">
        <f t="shared" si="1"/>
        <v>335658.25802866556</v>
      </c>
      <c r="K37" s="13">
        <f t="shared" si="2"/>
        <v>-0.14640861758479717</v>
      </c>
    </row>
    <row r="38" spans="1:11" ht="12" customHeight="1" x14ac:dyDescent="0.3">
      <c r="A38" s="134" t="s">
        <v>46</v>
      </c>
      <c r="B38" s="127" t="s">
        <v>47</v>
      </c>
      <c r="C38" s="127"/>
      <c r="D38" s="9">
        <f>'EA_aruanne analüüs'!D38</f>
        <v>2200000</v>
      </c>
      <c r="E38" s="9">
        <v>0</v>
      </c>
      <c r="F38" s="9">
        <f>'EA_aruanne analüüs'!F38</f>
        <v>1815000</v>
      </c>
      <c r="G38" s="9">
        <f>'EA_aruanne analüüs'!G38</f>
        <v>0</v>
      </c>
      <c r="H38" s="9">
        <f>'EA_aruanne analüüs'!H38</f>
        <v>0</v>
      </c>
      <c r="I38" s="9">
        <f t="shared" ref="I38:I39" si="14">SUM(F38:H38)</f>
        <v>1815000</v>
      </c>
      <c r="J38" s="9">
        <f t="shared" si="1"/>
        <v>-385000</v>
      </c>
      <c r="K38" s="10">
        <f t="shared" si="2"/>
        <v>-0.17499999999999999</v>
      </c>
    </row>
    <row r="39" spans="1:11" ht="12" customHeight="1" x14ac:dyDescent="0.3">
      <c r="A39" s="134"/>
      <c r="B39" s="127" t="s">
        <v>48</v>
      </c>
      <c r="C39" s="127"/>
      <c r="D39" s="9">
        <f>'EA_aruanne analüüs'!D39</f>
        <v>-658390.72</v>
      </c>
      <c r="E39" s="9">
        <v>-455095.81</v>
      </c>
      <c r="F39" s="9">
        <f>'EA_aruanne analüüs'!F39</f>
        <v>-888835.38000000012</v>
      </c>
      <c r="G39" s="9">
        <f>'EA_aruanne analüüs'!G39</f>
        <v>0</v>
      </c>
      <c r="H39" s="9">
        <f>'EA_aruanne analüüs'!H39</f>
        <v>0</v>
      </c>
      <c r="I39" s="9">
        <f t="shared" si="14"/>
        <v>-888835.38000000012</v>
      </c>
      <c r="J39" s="9">
        <f t="shared" si="1"/>
        <v>-230444.66000000015</v>
      </c>
      <c r="K39" s="10">
        <f t="shared" si="2"/>
        <v>0.35001201110489555</v>
      </c>
    </row>
    <row r="40" spans="1:11" ht="12" customHeight="1" x14ac:dyDescent="0.3">
      <c r="A40" s="134"/>
      <c r="B40" s="133" t="s">
        <v>49</v>
      </c>
      <c r="C40" s="133"/>
      <c r="D40" s="19">
        <f>D38+D39</f>
        <v>1541609.28</v>
      </c>
      <c r="E40" s="19">
        <f>E38+E39</f>
        <v>-455095.81</v>
      </c>
      <c r="F40" s="19">
        <f>F38+F39</f>
        <v>926164.61999999988</v>
      </c>
      <c r="G40" s="19">
        <f>G38+G39</f>
        <v>0</v>
      </c>
      <c r="H40" s="19">
        <f>H38+H39</f>
        <v>0</v>
      </c>
      <c r="I40" s="19">
        <f t="shared" si="13"/>
        <v>926164.61999999988</v>
      </c>
      <c r="J40" s="19">
        <f t="shared" si="1"/>
        <v>-615444.66000000015</v>
      </c>
      <c r="K40" s="20">
        <f t="shared" si="2"/>
        <v>-0.39922220758816407</v>
      </c>
    </row>
    <row r="41" spans="1:11" ht="12" customHeight="1" x14ac:dyDescent="0.3">
      <c r="A41" s="132" t="s">
        <v>50</v>
      </c>
      <c r="B41" s="132"/>
      <c r="C41" s="132"/>
      <c r="D41" s="12">
        <f>D37+D40</f>
        <v>-751003.43341667089</v>
      </c>
      <c r="E41" s="12">
        <f>E37+E40+E42</f>
        <v>-1364352.9099999995</v>
      </c>
      <c r="F41" s="12">
        <f>F37+F40</f>
        <v>-1030789.8353880055</v>
      </c>
      <c r="G41" s="12">
        <f>G37+G40+G42</f>
        <v>0</v>
      </c>
      <c r="H41" s="12">
        <f>H37+H40+H42</f>
        <v>0</v>
      </c>
      <c r="I41" s="12">
        <f>SUM(F41:G41)</f>
        <v>-1030789.8353880055</v>
      </c>
      <c r="J41" s="12">
        <f>F41-D41</f>
        <v>-279786.40197133459</v>
      </c>
      <c r="K41" s="13"/>
    </row>
    <row r="42" spans="1:11" ht="12" customHeight="1" x14ac:dyDescent="0.3">
      <c r="A42" s="72" t="s">
        <v>51</v>
      </c>
      <c r="B42" s="72"/>
      <c r="C42" s="72"/>
      <c r="D42" s="12">
        <v>0</v>
      </c>
      <c r="E42" s="12">
        <v>-7510.47</v>
      </c>
      <c r="F42" s="12">
        <v>0</v>
      </c>
      <c r="G42" s="12">
        <f>'EA_aruanne analüüs'!G42</f>
        <v>0</v>
      </c>
      <c r="H42" s="12"/>
      <c r="I42" s="12">
        <f t="shared" si="13"/>
        <v>0</v>
      </c>
      <c r="J42" s="12">
        <f t="shared" si="1"/>
        <v>0</v>
      </c>
      <c r="K42" s="13"/>
    </row>
    <row r="43" spans="1:11" ht="12" customHeight="1" x14ac:dyDescent="0.3">
      <c r="A43" s="127"/>
      <c r="B43" s="131" t="s">
        <v>52</v>
      </c>
      <c r="C43" s="38" t="s">
        <v>53</v>
      </c>
      <c r="D43" s="15">
        <f>'EA_aruanne analüüs'!D43</f>
        <v>44432.979999999996</v>
      </c>
      <c r="E43" s="15">
        <v>42373.94</v>
      </c>
      <c r="F43" s="15">
        <f>'EA_aruanne analüüs'!F43</f>
        <v>61752.800000000003</v>
      </c>
      <c r="G43" s="15">
        <f>'EA_aruanne analüüs'!G43</f>
        <v>0</v>
      </c>
      <c r="H43" s="15">
        <f>'EA_aruanne analüüs'!H43</f>
        <v>0</v>
      </c>
      <c r="I43" s="15">
        <f t="shared" ref="I43:I53" si="15">SUM(F43:H43)</f>
        <v>61752.800000000003</v>
      </c>
      <c r="J43" s="15">
        <f t="shared" si="1"/>
        <v>17319.820000000007</v>
      </c>
      <c r="K43" s="10">
        <f>(F43-D43)/D43</f>
        <v>0.389796498006661</v>
      </c>
    </row>
    <row r="44" spans="1:11" ht="12" customHeight="1" x14ac:dyDescent="0.3">
      <c r="A44" s="127"/>
      <c r="B44" s="131"/>
      <c r="C44" s="38" t="s">
        <v>54</v>
      </c>
      <c r="D44" s="15">
        <f>'EA_aruanne analüüs'!D44</f>
        <v>745143.62</v>
      </c>
      <c r="E44" s="15">
        <v>526576.38</v>
      </c>
      <c r="F44" s="15">
        <f>'EA_aruanne analüüs'!F44</f>
        <v>875438.86999999988</v>
      </c>
      <c r="G44" s="15">
        <f>'EA_aruanne analüüs'!G44</f>
        <v>0</v>
      </c>
      <c r="H44" s="15">
        <f>'EA_aruanne analüüs'!H44</f>
        <v>0</v>
      </c>
      <c r="I44" s="15">
        <f t="shared" si="15"/>
        <v>875438.86999999988</v>
      </c>
      <c r="J44" s="15">
        <f t="shared" si="1"/>
        <v>130295.24999999988</v>
      </c>
      <c r="K44" s="10">
        <f t="shared" si="2"/>
        <v>0.1748592439132739</v>
      </c>
    </row>
    <row r="45" spans="1:11" ht="12" customHeight="1" x14ac:dyDescent="0.3">
      <c r="A45" s="127"/>
      <c r="B45" s="131"/>
      <c r="C45" s="38" t="s">
        <v>55</v>
      </c>
      <c r="D45" s="15">
        <f>'EA_aruanne analüüs'!D45</f>
        <v>15353.837750000006</v>
      </c>
      <c r="E45" s="15">
        <v>0</v>
      </c>
      <c r="F45" s="15">
        <f>'EA_aruanne analüüs'!F45</f>
        <v>84183.656988000002</v>
      </c>
      <c r="G45" s="15">
        <f>'EA_aruanne analüüs'!G45</f>
        <v>0</v>
      </c>
      <c r="H45" s="15">
        <f>'EA_aruanne analüüs'!H45</f>
        <v>0</v>
      </c>
      <c r="I45" s="15">
        <f t="shared" si="15"/>
        <v>84183.656988000002</v>
      </c>
      <c r="J45" s="15">
        <f t="shared" si="1"/>
        <v>68829.819237999996</v>
      </c>
      <c r="K45" s="26">
        <f t="shared" si="2"/>
        <v>4.4829065122822449</v>
      </c>
    </row>
    <row r="46" spans="1:11" ht="12" customHeight="1" x14ac:dyDescent="0.3">
      <c r="A46" s="127"/>
      <c r="B46" s="131"/>
      <c r="C46" s="71" t="s">
        <v>56</v>
      </c>
      <c r="D46" s="9">
        <f>'EA_aruanne analüüs'!D46</f>
        <v>25000</v>
      </c>
      <c r="E46" s="9">
        <v>42562.43</v>
      </c>
      <c r="F46" s="9">
        <f>'EA_aruanne analüüs'!F46</f>
        <v>0</v>
      </c>
      <c r="G46" s="9">
        <f>'EA_aruanne analüüs'!G46</f>
        <v>0</v>
      </c>
      <c r="H46" s="9">
        <f>'EA_aruanne analüüs'!H46</f>
        <v>0</v>
      </c>
      <c r="I46" s="9">
        <f t="shared" si="15"/>
        <v>0</v>
      </c>
      <c r="J46" s="9">
        <f t="shared" si="1"/>
        <v>-25000</v>
      </c>
      <c r="K46" s="10">
        <f t="shared" si="2"/>
        <v>-1</v>
      </c>
    </row>
    <row r="47" spans="1:11" ht="12" customHeight="1" x14ac:dyDescent="0.3">
      <c r="A47" s="127"/>
      <c r="B47" s="131"/>
      <c r="C47" s="38" t="s">
        <v>57</v>
      </c>
      <c r="D47" s="15">
        <f>'EA_aruanne analüüs'!D47</f>
        <v>33847.94</v>
      </c>
      <c r="E47" s="15">
        <v>32624.03</v>
      </c>
      <c r="F47" s="15">
        <f>'EA_aruanne analüüs'!F47</f>
        <v>39901.69</v>
      </c>
      <c r="G47" s="15">
        <f>'EA_aruanne analüüs'!G47</f>
        <v>0</v>
      </c>
      <c r="H47" s="15">
        <f>'EA_aruanne analüüs'!H47</f>
        <v>0</v>
      </c>
      <c r="I47" s="15">
        <f t="shared" si="15"/>
        <v>39901.69</v>
      </c>
      <c r="J47" s="15">
        <f t="shared" si="1"/>
        <v>6053.75</v>
      </c>
      <c r="K47" s="10">
        <f t="shared" si="2"/>
        <v>0.17885135698066115</v>
      </c>
    </row>
    <row r="48" spans="1:11" ht="12" customHeight="1" x14ac:dyDescent="0.3">
      <c r="A48" s="127"/>
      <c r="B48" s="131"/>
      <c r="C48" s="38" t="s">
        <v>58</v>
      </c>
      <c r="D48" s="15">
        <f>'EA_aruanne analüüs'!D48</f>
        <v>33907</v>
      </c>
      <c r="E48" s="15">
        <v>28815.52</v>
      </c>
      <c r="F48" s="15">
        <f>'EA_aruanne analüüs'!F48</f>
        <v>33961</v>
      </c>
      <c r="G48" s="15">
        <f>'EA_aruanne analüüs'!G48</f>
        <v>0</v>
      </c>
      <c r="H48" s="15">
        <f>'EA_aruanne analüüs'!H48</f>
        <v>0</v>
      </c>
      <c r="I48" s="15">
        <f t="shared" si="15"/>
        <v>33961</v>
      </c>
      <c r="J48" s="15">
        <f t="shared" si="1"/>
        <v>54</v>
      </c>
      <c r="K48" s="10">
        <f t="shared" si="2"/>
        <v>1.5925915002801781E-3</v>
      </c>
    </row>
    <row r="49" spans="1:11" ht="12" customHeight="1" x14ac:dyDescent="0.3">
      <c r="A49" s="127"/>
      <c r="B49" s="131"/>
      <c r="C49" s="73" t="s">
        <v>59</v>
      </c>
      <c r="D49" s="19">
        <f>SUM(D43:D48)</f>
        <v>897685.37774999999</v>
      </c>
      <c r="E49" s="19">
        <f>SUM(E43:E48)</f>
        <v>672952.30000000016</v>
      </c>
      <c r="F49" s="19">
        <f>SUM(F43:F48)</f>
        <v>1095238.0169879999</v>
      </c>
      <c r="G49" s="19">
        <f>SUM(G43:G48)</f>
        <v>0</v>
      </c>
      <c r="H49" s="19">
        <f>SUM(H43:H48)</f>
        <v>0</v>
      </c>
      <c r="I49" s="19">
        <f t="shared" si="15"/>
        <v>1095238.0169879999</v>
      </c>
      <c r="J49" s="19">
        <f t="shared" si="1"/>
        <v>197552.63923799992</v>
      </c>
      <c r="K49" s="20">
        <f t="shared" si="2"/>
        <v>0.22006890624993242</v>
      </c>
    </row>
    <row r="50" spans="1:11" ht="12" customHeight="1" x14ac:dyDescent="0.3">
      <c r="A50" s="127"/>
      <c r="B50" s="135" t="s">
        <v>60</v>
      </c>
      <c r="C50" s="25" t="s">
        <v>61</v>
      </c>
      <c r="D50" s="9">
        <f>'EA_aruanne analüüs'!D50</f>
        <v>1000</v>
      </c>
      <c r="E50" s="15">
        <v>910.39</v>
      </c>
      <c r="F50" s="9">
        <f>'EA_aruanne analüüs'!F50</f>
        <v>1000</v>
      </c>
      <c r="G50" s="9">
        <f>'EA_aruanne analüüs'!G50</f>
        <v>0</v>
      </c>
      <c r="H50" s="9">
        <f>'EA_aruanne analüüs'!H50</f>
        <v>0</v>
      </c>
      <c r="I50" s="9">
        <f t="shared" ref="I50" si="16">SUM(F50:H50)</f>
        <v>1000</v>
      </c>
      <c r="J50" s="15">
        <f t="shared" si="1"/>
        <v>0</v>
      </c>
      <c r="K50" s="26">
        <f t="shared" si="2"/>
        <v>0</v>
      </c>
    </row>
    <row r="51" spans="1:11" ht="12" customHeight="1" x14ac:dyDescent="0.3">
      <c r="A51" s="127"/>
      <c r="B51" s="136"/>
      <c r="C51" s="27" t="s">
        <v>62</v>
      </c>
      <c r="D51" s="19">
        <f>D50</f>
        <v>1000</v>
      </c>
      <c r="E51" s="19">
        <f>E50</f>
        <v>910.39</v>
      </c>
      <c r="F51" s="19">
        <f>F50</f>
        <v>1000</v>
      </c>
      <c r="G51" s="19">
        <f>G50</f>
        <v>0</v>
      </c>
      <c r="H51" s="19">
        <f>H50</f>
        <v>0</v>
      </c>
      <c r="I51" s="19">
        <f t="shared" si="15"/>
        <v>1000</v>
      </c>
      <c r="J51" s="19">
        <f t="shared" si="1"/>
        <v>0</v>
      </c>
      <c r="K51" s="20">
        <f t="shared" si="2"/>
        <v>0</v>
      </c>
    </row>
    <row r="52" spans="1:11" ht="12" customHeight="1" x14ac:dyDescent="0.3">
      <c r="A52" s="127"/>
      <c r="B52" s="131" t="s">
        <v>63</v>
      </c>
      <c r="C52" s="38" t="s">
        <v>64</v>
      </c>
      <c r="D52" s="15">
        <f>'EA_aruanne analüüs'!D52</f>
        <v>25969</v>
      </c>
      <c r="E52" s="15">
        <v>16775.439999999999</v>
      </c>
      <c r="F52" s="15">
        <f>'EA_aruanne analüüs'!F52</f>
        <v>22510.1</v>
      </c>
      <c r="G52" s="15">
        <f>'EA_aruanne analüüs'!G52</f>
        <v>0</v>
      </c>
      <c r="H52" s="15">
        <f>'EA_aruanne analüüs'!H52</f>
        <v>0</v>
      </c>
      <c r="I52" s="15">
        <f t="shared" ref="I52" si="17">SUM(F52:H52)</f>
        <v>22510.1</v>
      </c>
      <c r="J52" s="15">
        <f t="shared" si="1"/>
        <v>-3458.9000000000015</v>
      </c>
      <c r="K52" s="10">
        <f t="shared" si="2"/>
        <v>-0.13319342292733649</v>
      </c>
    </row>
    <row r="53" spans="1:11" ht="12" customHeight="1" x14ac:dyDescent="0.3">
      <c r="A53" s="127"/>
      <c r="B53" s="131"/>
      <c r="C53" s="73" t="s">
        <v>65</v>
      </c>
      <c r="D53" s="19">
        <f>SUM(D52:D52)</f>
        <v>25969</v>
      </c>
      <c r="E53" s="19">
        <f>SUM(E52:E52)</f>
        <v>16775.439999999999</v>
      </c>
      <c r="F53" s="19">
        <f>SUM(F52:F52)</f>
        <v>22510.1</v>
      </c>
      <c r="G53" s="19">
        <f>SUM(G52:G52)</f>
        <v>0</v>
      </c>
      <c r="H53" s="19">
        <f>SUM(H52:H52)</f>
        <v>0</v>
      </c>
      <c r="I53" s="19">
        <f t="shared" si="15"/>
        <v>22510.1</v>
      </c>
      <c r="J53" s="19">
        <f t="shared" si="1"/>
        <v>-3458.9000000000015</v>
      </c>
      <c r="K53" s="20">
        <f t="shared" si="2"/>
        <v>-0.13319342292733649</v>
      </c>
    </row>
    <row r="54" spans="1:11" ht="12" customHeight="1" x14ac:dyDescent="0.3">
      <c r="A54" s="127"/>
      <c r="B54" s="137" t="s">
        <v>66</v>
      </c>
      <c r="C54" s="38" t="s">
        <v>67</v>
      </c>
      <c r="D54" s="15">
        <f>'EA_aruanne analüüs'!D54</f>
        <v>812218.58</v>
      </c>
      <c r="E54" s="15">
        <v>521987.07</v>
      </c>
      <c r="F54" s="15">
        <f>'EA_aruanne analüüs'!F54</f>
        <v>485320</v>
      </c>
      <c r="G54" s="95">
        <f>'EA_aruanne analüüs'!G54</f>
        <v>0</v>
      </c>
      <c r="H54" s="95">
        <f>'EA_aruanne analüüs'!H54</f>
        <v>0</v>
      </c>
      <c r="I54" s="95">
        <f t="shared" ref="I54:I57" si="18">SUM(F54:H54)</f>
        <v>485320</v>
      </c>
      <c r="J54" s="15">
        <f t="shared" si="1"/>
        <v>-326898.57999999996</v>
      </c>
      <c r="K54" s="10">
        <f t="shared" si="2"/>
        <v>-0.40247611671232636</v>
      </c>
    </row>
    <row r="55" spans="1:11" ht="12" customHeight="1" x14ac:dyDescent="0.3">
      <c r="A55" s="127"/>
      <c r="B55" s="138"/>
      <c r="C55" s="38" t="s">
        <v>68</v>
      </c>
      <c r="D55" s="15">
        <f>'EA_aruanne analüüs'!D55</f>
        <v>60973.659999999996</v>
      </c>
      <c r="E55" s="15">
        <v>52426.21</v>
      </c>
      <c r="F55" s="15">
        <f>'EA_aruanne analüüs'!F55</f>
        <v>54399.6</v>
      </c>
      <c r="G55" s="15">
        <f>'EA_aruanne analüüs'!G55</f>
        <v>0</v>
      </c>
      <c r="H55" s="15">
        <f>'EA_aruanne analüüs'!H55</f>
        <v>0</v>
      </c>
      <c r="I55" s="15">
        <f t="shared" si="18"/>
        <v>54399.6</v>
      </c>
      <c r="J55" s="15">
        <f t="shared" si="1"/>
        <v>-6574.0599999999977</v>
      </c>
      <c r="K55" s="10">
        <f t="shared" si="2"/>
        <v>-0.10781803158937807</v>
      </c>
    </row>
    <row r="56" spans="1:11" ht="12" customHeight="1" x14ac:dyDescent="0.3">
      <c r="A56" s="127"/>
      <c r="B56" s="138"/>
      <c r="C56" s="38" t="s">
        <v>69</v>
      </c>
      <c r="D56" s="15">
        <f>'EA_aruanne analüüs'!D56</f>
        <v>294986.89999999997</v>
      </c>
      <c r="E56" s="15">
        <v>144392.01999999999</v>
      </c>
      <c r="F56" s="15">
        <f>'EA_aruanne analüüs'!F56</f>
        <v>309260</v>
      </c>
      <c r="G56" s="15">
        <f>'EA_aruanne analüüs'!G56</f>
        <v>0</v>
      </c>
      <c r="H56" s="15">
        <f>'EA_aruanne analüüs'!H56</f>
        <v>0</v>
      </c>
      <c r="I56" s="15">
        <f t="shared" si="18"/>
        <v>309260</v>
      </c>
      <c r="J56" s="15">
        <f t="shared" si="1"/>
        <v>14273.100000000035</v>
      </c>
      <c r="K56" s="10">
        <f t="shared" si="2"/>
        <v>4.83855384764545E-2</v>
      </c>
    </row>
    <row r="57" spans="1:11" ht="12" customHeight="1" x14ac:dyDescent="0.3">
      <c r="A57" s="127"/>
      <c r="B57" s="139"/>
      <c r="C57" s="73" t="s">
        <v>70</v>
      </c>
      <c r="D57" s="19">
        <f>SUM(D54:D56)</f>
        <v>1168179.1399999999</v>
      </c>
      <c r="E57" s="19">
        <f>SUM(E54:E56)</f>
        <v>718805.3</v>
      </c>
      <c r="F57" s="19">
        <f>SUM(F54:F56)</f>
        <v>848979.6</v>
      </c>
      <c r="G57" s="19">
        <f>SUM(G54:G56)</f>
        <v>0</v>
      </c>
      <c r="H57" s="19">
        <f>SUM(H54:H56)</f>
        <v>0</v>
      </c>
      <c r="I57" s="19">
        <f t="shared" si="18"/>
        <v>848979.6</v>
      </c>
      <c r="J57" s="19">
        <f t="shared" si="1"/>
        <v>-319199.53999999992</v>
      </c>
      <c r="K57" s="20">
        <f t="shared" si="2"/>
        <v>-0.27324536885669776</v>
      </c>
    </row>
    <row r="58" spans="1:11" ht="12" customHeight="1" x14ac:dyDescent="0.3">
      <c r="A58" s="127"/>
      <c r="B58" s="137" t="s">
        <v>71</v>
      </c>
      <c r="C58" s="38" t="s">
        <v>72</v>
      </c>
      <c r="D58" s="15">
        <f>'EA_aruanne analüüs'!D58</f>
        <v>9478.3999999999942</v>
      </c>
      <c r="E58" s="15">
        <v>2215.8000000000002</v>
      </c>
      <c r="F58" s="15">
        <f>'EA_aruanne analüüs'!F58</f>
        <v>9517.44</v>
      </c>
      <c r="G58" s="15">
        <f>'EA_aruanne analüüs'!G58</f>
        <v>0</v>
      </c>
      <c r="H58" s="15">
        <f>'EA_aruanne analüüs'!H58</f>
        <v>0</v>
      </c>
      <c r="I58" s="15">
        <f t="shared" ref="I58:I60" si="19">SUM(F58:H58)</f>
        <v>9517.44</v>
      </c>
      <c r="J58" s="15">
        <f t="shared" si="1"/>
        <v>39.04000000000633</v>
      </c>
      <c r="K58" s="10">
        <f t="shared" si="2"/>
        <v>4.1188386225530001E-3</v>
      </c>
    </row>
    <row r="59" spans="1:11" ht="12" customHeight="1" x14ac:dyDescent="0.3">
      <c r="A59" s="127"/>
      <c r="B59" s="138"/>
      <c r="C59" s="38" t="s">
        <v>73</v>
      </c>
      <c r="D59" s="15">
        <f>'EA_aruanne analüüs'!D59</f>
        <v>518.4</v>
      </c>
      <c r="E59" s="15">
        <v>6256.82</v>
      </c>
      <c r="F59" s="15">
        <f>'EA_aruanne analüüs'!F59</f>
        <v>518.4</v>
      </c>
      <c r="G59" s="15">
        <f>'EA_aruanne analüüs'!G59</f>
        <v>0</v>
      </c>
      <c r="H59" s="15">
        <f>'EA_aruanne analüüs'!H59</f>
        <v>0</v>
      </c>
      <c r="I59" s="15">
        <f t="shared" si="19"/>
        <v>518.4</v>
      </c>
      <c r="J59" s="15">
        <f t="shared" si="1"/>
        <v>0</v>
      </c>
      <c r="K59" s="10">
        <f t="shared" si="2"/>
        <v>0</v>
      </c>
    </row>
    <row r="60" spans="1:11" ht="12" customHeight="1" x14ac:dyDescent="0.3">
      <c r="A60" s="127"/>
      <c r="B60" s="139"/>
      <c r="C60" s="73" t="s">
        <v>74</v>
      </c>
      <c r="D60" s="19">
        <f>D58+D59</f>
        <v>9996.7999999999938</v>
      </c>
      <c r="E60" s="19">
        <f>E58+E59</f>
        <v>8472.619999999999</v>
      </c>
      <c r="F60" s="19">
        <f>F58+F59</f>
        <v>10035.84</v>
      </c>
      <c r="G60" s="19">
        <f>G58+G59</f>
        <v>0</v>
      </c>
      <c r="H60" s="19">
        <f>H58+H59</f>
        <v>0</v>
      </c>
      <c r="I60" s="19">
        <f t="shared" si="19"/>
        <v>10035.84</v>
      </c>
      <c r="J60" s="19">
        <f t="shared" si="1"/>
        <v>39.04000000000633</v>
      </c>
      <c r="K60" s="20">
        <f t="shared" si="2"/>
        <v>3.9052496798982028E-3</v>
      </c>
    </row>
    <row r="61" spans="1:11" ht="12" customHeight="1" x14ac:dyDescent="0.3">
      <c r="A61" s="127"/>
      <c r="B61" s="131" t="s">
        <v>75</v>
      </c>
      <c r="C61" s="38" t="s">
        <v>76</v>
      </c>
      <c r="D61" s="15">
        <f>'EA_aruanne analüüs'!D61</f>
        <v>700000</v>
      </c>
      <c r="E61" s="15">
        <v>0</v>
      </c>
      <c r="F61" s="15">
        <f>'EA_aruanne analüüs'!F61</f>
        <v>300000</v>
      </c>
      <c r="G61" s="15">
        <f>'EA_aruanne analüüs'!G61</f>
        <v>0</v>
      </c>
      <c r="H61" s="15">
        <f>'EA_aruanne analüüs'!H61</f>
        <v>0</v>
      </c>
      <c r="I61" s="15">
        <f t="shared" ref="I61:I70" si="20">SUM(F61:H61)</f>
        <v>300000</v>
      </c>
      <c r="J61" s="15">
        <f t="shared" si="1"/>
        <v>-400000</v>
      </c>
      <c r="K61" s="10">
        <f>(F61-D61)/D61</f>
        <v>-0.5714285714285714</v>
      </c>
    </row>
    <row r="62" spans="1:11" ht="12" customHeight="1" x14ac:dyDescent="0.3">
      <c r="A62" s="127"/>
      <c r="B62" s="131"/>
      <c r="C62" s="38" t="s">
        <v>77</v>
      </c>
      <c r="D62" s="15">
        <f>'EA_aruanne analüüs'!D62</f>
        <v>809885.32</v>
      </c>
      <c r="E62" s="15">
        <v>82255.39</v>
      </c>
      <c r="F62" s="15">
        <f>'EA_aruanne analüüs'!F62</f>
        <v>102068.8</v>
      </c>
      <c r="G62" s="15">
        <f>'EA_aruanne analüüs'!G62</f>
        <v>0</v>
      </c>
      <c r="H62" s="15">
        <f>'EA_aruanne analüüs'!H62</f>
        <v>0</v>
      </c>
      <c r="I62" s="15">
        <f t="shared" si="20"/>
        <v>102068.8</v>
      </c>
      <c r="J62" s="15">
        <f t="shared" si="1"/>
        <v>-707816.5199999999</v>
      </c>
      <c r="K62" s="10">
        <f t="shared" si="2"/>
        <v>-0.87397129262696105</v>
      </c>
    </row>
    <row r="63" spans="1:11" ht="12" customHeight="1" x14ac:dyDescent="0.3">
      <c r="A63" s="127"/>
      <c r="B63" s="131"/>
      <c r="C63" s="38" t="s">
        <v>78</v>
      </c>
      <c r="D63" s="15">
        <f>'EA_aruanne analüüs'!D63</f>
        <v>832805.28999999992</v>
      </c>
      <c r="E63" s="15">
        <v>861402.32</v>
      </c>
      <c r="F63" s="15">
        <f>'EA_aruanne analüüs'!F63</f>
        <v>711059.91640000022</v>
      </c>
      <c r="G63" s="15">
        <f>'EA_aruanne analüüs'!G63</f>
        <v>0</v>
      </c>
      <c r="H63" s="15">
        <f>'EA_aruanne analüüs'!H63</f>
        <v>0</v>
      </c>
      <c r="I63" s="15">
        <f t="shared" si="20"/>
        <v>711059.91640000022</v>
      </c>
      <c r="J63" s="15">
        <f t="shared" si="1"/>
        <v>-121745.3735999997</v>
      </c>
      <c r="K63" s="10">
        <f t="shared" si="2"/>
        <v>-0.14618708005565109</v>
      </c>
    </row>
    <row r="64" spans="1:11" ht="12" customHeight="1" x14ac:dyDescent="0.3">
      <c r="A64" s="127"/>
      <c r="B64" s="131"/>
      <c r="C64" s="101" t="s">
        <v>79</v>
      </c>
      <c r="D64" s="29">
        <f>'EA_aruanne analüüs'!D64</f>
        <v>205888.69</v>
      </c>
      <c r="E64" s="29">
        <v>176258.52</v>
      </c>
      <c r="F64" s="29">
        <f>'EA_aruanne analüüs'!F64</f>
        <v>176760.05000000002</v>
      </c>
      <c r="G64" s="29">
        <f>'EA_aruanne analüüs'!G64</f>
        <v>0</v>
      </c>
      <c r="H64" s="29">
        <f>'EA_aruanne analüüs'!H64</f>
        <v>0</v>
      </c>
      <c r="I64" s="29">
        <f t="shared" si="20"/>
        <v>176760.05000000002</v>
      </c>
      <c r="J64" s="15">
        <f t="shared" si="1"/>
        <v>-29128.639999999985</v>
      </c>
      <c r="K64" s="10">
        <f t="shared" si="2"/>
        <v>-0.14147761103341802</v>
      </c>
    </row>
    <row r="65" spans="1:11" ht="12" customHeight="1" x14ac:dyDescent="0.3">
      <c r="A65" s="127"/>
      <c r="B65" s="131"/>
      <c r="C65" s="101" t="s">
        <v>80</v>
      </c>
      <c r="D65" s="29">
        <f>'EA_aruanne analüüs'!D65</f>
        <v>296537.5</v>
      </c>
      <c r="E65" s="29">
        <v>225184.57</v>
      </c>
      <c r="F65" s="29">
        <f>'EA_aruanne analüüs'!F65</f>
        <v>195319.84</v>
      </c>
      <c r="G65" s="29">
        <f>'EA_aruanne analüüs'!G65</f>
        <v>0</v>
      </c>
      <c r="H65" s="29">
        <f>'EA_aruanne analüüs'!H65</f>
        <v>0</v>
      </c>
      <c r="I65" s="29">
        <f t="shared" si="20"/>
        <v>195319.84</v>
      </c>
      <c r="J65" s="15">
        <f t="shared" si="1"/>
        <v>-101217.66</v>
      </c>
      <c r="K65" s="10">
        <f t="shared" si="2"/>
        <v>-0.3413317371327404</v>
      </c>
    </row>
    <row r="66" spans="1:11" ht="12" customHeight="1" x14ac:dyDescent="0.3">
      <c r="A66" s="127"/>
      <c r="B66" s="131"/>
      <c r="C66" s="101" t="s">
        <v>81</v>
      </c>
      <c r="D66" s="29">
        <f>'EA_aruanne analüüs'!D66</f>
        <v>255634.95</v>
      </c>
      <c r="E66" s="29">
        <f>398435.81+27</f>
        <v>398462.81</v>
      </c>
      <c r="F66" s="29">
        <f>'EA_aruanne analüüs'!F66</f>
        <v>277943.52</v>
      </c>
      <c r="G66" s="29">
        <f>'EA_aruanne analüüs'!G66</f>
        <v>0</v>
      </c>
      <c r="H66" s="29">
        <f>'EA_aruanne analüüs'!H66</f>
        <v>0</v>
      </c>
      <c r="I66" s="29">
        <f t="shared" si="20"/>
        <v>277943.52</v>
      </c>
      <c r="J66" s="15">
        <f t="shared" si="1"/>
        <v>22308.570000000007</v>
      </c>
      <c r="K66" s="10">
        <f t="shared" si="2"/>
        <v>8.7267292676529579E-2</v>
      </c>
    </row>
    <row r="67" spans="1:11" ht="12" customHeight="1" x14ac:dyDescent="0.3">
      <c r="A67" s="127"/>
      <c r="B67" s="131"/>
      <c r="C67" s="101" t="s">
        <v>328</v>
      </c>
      <c r="D67" s="29">
        <f>'EA_aruanne analüüs'!D67</f>
        <v>40811.129999999997</v>
      </c>
      <c r="E67" s="29">
        <v>30392.04</v>
      </c>
      <c r="F67" s="29">
        <f>'EA_aruanne analüüs'!F67</f>
        <v>32393.946400000001</v>
      </c>
      <c r="G67" s="29">
        <f>'EA_aruanne analüüs'!G67</f>
        <v>0</v>
      </c>
      <c r="H67" s="29">
        <f>'EA_aruanne analüüs'!H67</f>
        <v>0</v>
      </c>
      <c r="I67" s="29">
        <f t="shared" si="20"/>
        <v>32393.946400000001</v>
      </c>
      <c r="J67" s="15">
        <f t="shared" si="1"/>
        <v>-8417.1835999999967</v>
      </c>
      <c r="K67" s="10">
        <f t="shared" si="2"/>
        <v>-0.20624725656947007</v>
      </c>
    </row>
    <row r="68" spans="1:11" ht="12" customHeight="1" x14ac:dyDescent="0.3">
      <c r="A68" s="127"/>
      <c r="B68" s="131"/>
      <c r="C68" s="101" t="s">
        <v>332</v>
      </c>
      <c r="D68" s="29">
        <f>'EA_aruanne analüüs'!D68</f>
        <v>26270.620000000003</v>
      </c>
      <c r="E68" s="29">
        <v>22828.76</v>
      </c>
      <c r="F68" s="29">
        <f>'EA_aruanne analüüs'!F68</f>
        <v>18980.16</v>
      </c>
      <c r="G68" s="29">
        <f>'EA_aruanne analüüs'!G68</f>
        <v>0</v>
      </c>
      <c r="H68" s="29">
        <f>'EA_aruanne analüüs'!H68</f>
        <v>0</v>
      </c>
      <c r="I68" s="29">
        <f t="shared" si="20"/>
        <v>18980.16</v>
      </c>
      <c r="J68" s="15">
        <f t="shared" si="1"/>
        <v>-7290.4600000000028</v>
      </c>
      <c r="K68" s="10">
        <f t="shared" si="2"/>
        <v>-0.27751381581401591</v>
      </c>
    </row>
    <row r="69" spans="1:11" ht="12" customHeight="1" x14ac:dyDescent="0.3">
      <c r="A69" s="127"/>
      <c r="B69" s="131"/>
      <c r="C69" s="101" t="s">
        <v>684</v>
      </c>
      <c r="D69" s="29">
        <f>'EA_aruanne analüüs'!D69</f>
        <v>7662.4</v>
      </c>
      <c r="E69" s="29">
        <v>8275.6200000000008</v>
      </c>
      <c r="F69" s="29">
        <f>'EA_aruanne analüüs'!F69</f>
        <v>9662.4</v>
      </c>
      <c r="G69" s="29">
        <f>'EA_aruanne analüüs'!G69</f>
        <v>0</v>
      </c>
      <c r="H69" s="29">
        <f>'EA_aruanne analüüs'!H69</f>
        <v>0</v>
      </c>
      <c r="I69" s="29">
        <f t="shared" si="20"/>
        <v>9662.4</v>
      </c>
      <c r="J69" s="15">
        <f t="shared" si="1"/>
        <v>2000</v>
      </c>
      <c r="K69" s="26">
        <f t="shared" si="2"/>
        <v>0.26101482564209649</v>
      </c>
    </row>
    <row r="70" spans="1:11" ht="12" customHeight="1" x14ac:dyDescent="0.3">
      <c r="A70" s="127"/>
      <c r="B70" s="131"/>
      <c r="C70" s="73" t="s">
        <v>82</v>
      </c>
      <c r="D70" s="19">
        <f>SUM(D61:D63)</f>
        <v>2342690.61</v>
      </c>
      <c r="E70" s="19">
        <f>SUM(E61:E63)</f>
        <v>943657.71</v>
      </c>
      <c r="F70" s="30">
        <f>SUM(F61:F63)</f>
        <v>1113128.7164000003</v>
      </c>
      <c r="G70" s="30">
        <f>SUM(G61:G63)</f>
        <v>0</v>
      </c>
      <c r="H70" s="30">
        <f>SUM(H61:H63)</f>
        <v>0</v>
      </c>
      <c r="I70" s="30">
        <f t="shared" si="20"/>
        <v>1113128.7164000003</v>
      </c>
      <c r="J70" s="19">
        <f t="shared" si="1"/>
        <v>-1229561.8935999996</v>
      </c>
      <c r="K70" s="20">
        <f t="shared" si="2"/>
        <v>-0.52485031030196505</v>
      </c>
    </row>
    <row r="71" spans="1:11" ht="12" customHeight="1" x14ac:dyDescent="0.3">
      <c r="A71" s="127"/>
      <c r="B71" s="140" t="s">
        <v>83</v>
      </c>
      <c r="C71" s="71" t="s">
        <v>84</v>
      </c>
      <c r="D71" s="9">
        <f>'EA_aruanne analüüs'!D71</f>
        <v>38447</v>
      </c>
      <c r="E71" s="9">
        <v>25595.57</v>
      </c>
      <c r="F71" s="9">
        <f>'EA_aruanne analüüs'!F71</f>
        <v>36629</v>
      </c>
      <c r="G71" s="9">
        <f>'EA_aruanne analüüs'!G71</f>
        <v>0</v>
      </c>
      <c r="H71" s="9"/>
      <c r="I71" s="9">
        <f t="shared" ref="I71:I72" si="21">SUM(F71:H71)</f>
        <v>36629</v>
      </c>
      <c r="J71" s="9">
        <f t="shared" si="1"/>
        <v>-1818</v>
      </c>
      <c r="K71" s="10">
        <f t="shared" si="2"/>
        <v>-4.7285874060394827E-2</v>
      </c>
    </row>
    <row r="72" spans="1:11" ht="12" customHeight="1" x14ac:dyDescent="0.3">
      <c r="A72" s="127"/>
      <c r="B72" s="141"/>
      <c r="C72" s="73" t="s">
        <v>85</v>
      </c>
      <c r="D72" s="19">
        <f>D71</f>
        <v>38447</v>
      </c>
      <c r="E72" s="19">
        <f>E71</f>
        <v>25595.57</v>
      </c>
      <c r="F72" s="19">
        <f>F71</f>
        <v>36629</v>
      </c>
      <c r="G72" s="19">
        <f>G71</f>
        <v>0</v>
      </c>
      <c r="H72" s="19">
        <f>H71</f>
        <v>0</v>
      </c>
      <c r="I72" s="19">
        <f t="shared" si="21"/>
        <v>36629</v>
      </c>
      <c r="J72" s="19">
        <f t="shared" si="1"/>
        <v>-1818</v>
      </c>
      <c r="K72" s="20">
        <f t="shared" si="2"/>
        <v>-4.7285874060394827E-2</v>
      </c>
    </row>
    <row r="73" spans="1:11" ht="12" customHeight="1" x14ac:dyDescent="0.3">
      <c r="A73" s="127"/>
      <c r="B73" s="142" t="s">
        <v>86</v>
      </c>
      <c r="C73" s="38" t="s">
        <v>87</v>
      </c>
      <c r="D73" s="15">
        <f>'EA_aruanne analüüs'!D73</f>
        <v>241991.86000000002</v>
      </c>
      <c r="E73" s="15">
        <v>994965.8</v>
      </c>
      <c r="F73" s="15">
        <f>'EA_aruanne analüüs'!F73</f>
        <v>237845.55</v>
      </c>
      <c r="G73" s="15">
        <f>'EA_aruanne analüüs'!G73</f>
        <v>0</v>
      </c>
      <c r="H73" s="15">
        <f>'EA_aruanne analüüs'!H73</f>
        <v>0</v>
      </c>
      <c r="I73" s="15">
        <f t="shared" ref="I73:I98" si="22">SUM(F73:H73)</f>
        <v>237845.55</v>
      </c>
      <c r="J73" s="15">
        <f t="shared" si="1"/>
        <v>-4146.3100000000268</v>
      </c>
      <c r="K73" s="10">
        <f t="shared" si="2"/>
        <v>-1.7134088725133261E-2</v>
      </c>
    </row>
    <row r="74" spans="1:11" ht="12" customHeight="1" x14ac:dyDescent="0.3">
      <c r="A74" s="127"/>
      <c r="B74" s="143"/>
      <c r="C74" s="101" t="s">
        <v>475</v>
      </c>
      <c r="D74" s="35">
        <f>'EA_aruanne analüüs'!D74</f>
        <v>120000</v>
      </c>
      <c r="E74" s="35">
        <v>859240.17</v>
      </c>
      <c r="F74" s="29">
        <f>'EA_aruanne analüüs'!F74</f>
        <v>120000</v>
      </c>
      <c r="G74" s="29">
        <f>'EA_aruanne analüüs'!G74</f>
        <v>0</v>
      </c>
      <c r="H74" s="29">
        <f>'EA_aruanne analüüs'!H74</f>
        <v>0</v>
      </c>
      <c r="I74" s="29">
        <f t="shared" si="22"/>
        <v>120000</v>
      </c>
      <c r="J74" s="35">
        <f t="shared" si="1"/>
        <v>0</v>
      </c>
      <c r="K74" s="34">
        <f t="shared" si="2"/>
        <v>0</v>
      </c>
    </row>
    <row r="75" spans="1:11" ht="12" customHeight="1" x14ac:dyDescent="0.3">
      <c r="A75" s="127"/>
      <c r="B75" s="143"/>
      <c r="C75" s="101" t="s">
        <v>179</v>
      </c>
      <c r="D75" s="35">
        <f>'EA_aruanne analüüs'!D75</f>
        <v>43709.270000000004</v>
      </c>
      <c r="E75" s="35">
        <v>43292.08</v>
      </c>
      <c r="F75" s="29">
        <f>'EA_aruanne analüüs'!F75</f>
        <v>45682.19</v>
      </c>
      <c r="G75" s="29">
        <f>'EA_aruanne analüüs'!G75</f>
        <v>0</v>
      </c>
      <c r="H75" s="29">
        <f>'EA_aruanne analüüs'!H75</f>
        <v>0</v>
      </c>
      <c r="I75" s="29">
        <f t="shared" si="22"/>
        <v>45682.19</v>
      </c>
      <c r="J75" s="35">
        <f t="shared" si="1"/>
        <v>1972.9199999999983</v>
      </c>
      <c r="K75" s="97">
        <f t="shared" si="2"/>
        <v>4.5137335855757785E-2</v>
      </c>
    </row>
    <row r="76" spans="1:11" ht="12" customHeight="1" x14ac:dyDescent="0.3">
      <c r="A76" s="127"/>
      <c r="B76" s="143"/>
      <c r="C76" s="101" t="s">
        <v>437</v>
      </c>
      <c r="D76" s="35">
        <f>'EA_aruanne analüüs'!D76</f>
        <v>4965.53</v>
      </c>
      <c r="E76" s="35">
        <v>11264.84</v>
      </c>
      <c r="F76" s="29">
        <f>'EA_aruanne analüüs'!F76</f>
        <v>5866</v>
      </c>
      <c r="G76" s="29">
        <f>'EA_aruanne analüüs'!G76</f>
        <v>0</v>
      </c>
      <c r="H76" s="29">
        <f>'EA_aruanne analüüs'!H76</f>
        <v>0</v>
      </c>
      <c r="I76" s="29">
        <f t="shared" si="22"/>
        <v>5866</v>
      </c>
      <c r="J76" s="35">
        <f t="shared" si="1"/>
        <v>900.47000000000025</v>
      </c>
      <c r="K76" s="34">
        <f t="shared" si="2"/>
        <v>0.18134418682396447</v>
      </c>
    </row>
    <row r="77" spans="1:11" ht="12" customHeight="1" x14ac:dyDescent="0.3">
      <c r="A77" s="127"/>
      <c r="B77" s="143"/>
      <c r="C77" s="38" t="s">
        <v>90</v>
      </c>
      <c r="D77" s="15">
        <f>'EA_aruanne analüüs'!D77</f>
        <v>100594.58</v>
      </c>
      <c r="E77" s="15">
        <v>125073.18</v>
      </c>
      <c r="F77" s="15">
        <f>'EA_aruanne analüüs'!F77</f>
        <v>104709.54000000001</v>
      </c>
      <c r="G77" s="15">
        <f>'EA_aruanne analüüs'!G77</f>
        <v>0</v>
      </c>
      <c r="H77" s="15">
        <f>'EA_aruanne analüüs'!H77</f>
        <v>0</v>
      </c>
      <c r="I77" s="15">
        <f t="shared" si="22"/>
        <v>104709.54000000001</v>
      </c>
      <c r="J77" s="15">
        <f t="shared" si="1"/>
        <v>4114.9600000000064</v>
      </c>
      <c r="K77" s="10">
        <f t="shared" si="2"/>
        <v>4.0906378852618164E-2</v>
      </c>
    </row>
    <row r="78" spans="1:11" ht="12" customHeight="1" x14ac:dyDescent="0.3">
      <c r="A78" s="127"/>
      <c r="B78" s="143"/>
      <c r="C78" s="38" t="s">
        <v>92</v>
      </c>
      <c r="D78" s="15">
        <f>'EA_aruanne analüüs'!D78</f>
        <v>273750</v>
      </c>
      <c r="E78" s="15">
        <v>393523.91</v>
      </c>
      <c r="F78" s="15">
        <f>'EA_aruanne analüüs'!F78</f>
        <v>306670</v>
      </c>
      <c r="G78" s="15">
        <f>'EA_aruanne analüüs'!G78</f>
        <v>0</v>
      </c>
      <c r="H78" s="15">
        <f>'EA_aruanne analüüs'!H78</f>
        <v>0</v>
      </c>
      <c r="I78" s="15">
        <f t="shared" si="22"/>
        <v>306670</v>
      </c>
      <c r="J78" s="15">
        <f t="shared" si="1"/>
        <v>32920</v>
      </c>
      <c r="K78" s="10">
        <f t="shared" si="2"/>
        <v>0.12025570776255708</v>
      </c>
    </row>
    <row r="79" spans="1:11" ht="12" customHeight="1" x14ac:dyDescent="0.3">
      <c r="A79" s="127"/>
      <c r="B79" s="143"/>
      <c r="C79" s="65" t="s">
        <v>724</v>
      </c>
      <c r="D79" s="35">
        <f>'EA_aruanne analüüs'!D79</f>
        <v>204000</v>
      </c>
      <c r="E79" s="35"/>
      <c r="F79" s="29">
        <f>'EA_aruanne analüüs'!F79</f>
        <v>239100</v>
      </c>
      <c r="G79" s="35"/>
      <c r="H79" s="35"/>
      <c r="I79" s="35"/>
      <c r="J79" s="15">
        <f t="shared" si="1"/>
        <v>35100</v>
      </c>
      <c r="K79" s="10">
        <f t="shared" si="2"/>
        <v>0.17205882352941176</v>
      </c>
    </row>
    <row r="80" spans="1:11" ht="12" customHeight="1" x14ac:dyDescent="0.3">
      <c r="A80" s="127"/>
      <c r="B80" s="143"/>
      <c r="C80" s="38" t="s">
        <v>93</v>
      </c>
      <c r="D80" s="15">
        <v>332788.73400000005</v>
      </c>
      <c r="E80" s="15">
        <v>197739.33</v>
      </c>
      <c r="F80" s="15">
        <f>'EA_aruanne analüüs'!F80</f>
        <v>1660389.7980000004</v>
      </c>
      <c r="G80" s="15">
        <f>'EA_aruanne analüüs'!G80</f>
        <v>0</v>
      </c>
      <c r="H80" s="15">
        <f>'EA_aruanne analüüs'!H80</f>
        <v>0</v>
      </c>
      <c r="I80" s="15">
        <f t="shared" si="22"/>
        <v>1660389.7980000004</v>
      </c>
      <c r="J80" s="15">
        <f t="shared" si="1"/>
        <v>1327601.0640000002</v>
      </c>
      <c r="K80" s="10">
        <f t="shared" si="2"/>
        <v>3.9893209365675224</v>
      </c>
    </row>
    <row r="81" spans="1:11" ht="12" customHeight="1" x14ac:dyDescent="0.3">
      <c r="A81" s="127"/>
      <c r="B81" s="143"/>
      <c r="C81" s="101" t="s">
        <v>953</v>
      </c>
      <c r="D81" s="35">
        <f>'EA_aruanne analüüs'!D81</f>
        <v>124510.496</v>
      </c>
      <c r="E81" s="35">
        <v>71876.23</v>
      </c>
      <c r="F81" s="29">
        <f>'EA_aruanne analüüs'!F81</f>
        <v>1468969.402</v>
      </c>
      <c r="G81" s="29">
        <f>'EA_aruanne analüüs'!G81</f>
        <v>0</v>
      </c>
      <c r="H81" s="29">
        <f>'EA_aruanne analüüs'!H81</f>
        <v>0</v>
      </c>
      <c r="I81" s="29">
        <f t="shared" si="22"/>
        <v>1468969.402</v>
      </c>
      <c r="J81" s="35">
        <f t="shared" si="1"/>
        <v>1344458.906</v>
      </c>
      <c r="K81" s="34">
        <f t="shared" si="2"/>
        <v>10.797956390760824</v>
      </c>
    </row>
    <row r="82" spans="1:11" ht="12" customHeight="1" x14ac:dyDescent="0.3">
      <c r="A82" s="127"/>
      <c r="B82" s="143"/>
      <c r="C82" s="101" t="s">
        <v>230</v>
      </c>
      <c r="D82" s="35">
        <f>'EA_aruanne analüüs'!D82</f>
        <v>15987.67</v>
      </c>
      <c r="E82" s="35">
        <v>18230.02</v>
      </c>
      <c r="F82" s="29">
        <f>'EA_aruanne analüüs'!F82</f>
        <v>67823.398000000001</v>
      </c>
      <c r="G82" s="29">
        <f>'EA_aruanne analüüs'!G82</f>
        <v>0</v>
      </c>
      <c r="H82" s="29">
        <f>'EA_aruanne analüüs'!H82</f>
        <v>0</v>
      </c>
      <c r="I82" s="29">
        <f t="shared" si="22"/>
        <v>67823.398000000001</v>
      </c>
      <c r="J82" s="35">
        <f t="shared" si="1"/>
        <v>51835.728000000003</v>
      </c>
      <c r="K82" s="97">
        <f t="shared" si="2"/>
        <v>3.2422315446841226</v>
      </c>
    </row>
    <row r="83" spans="1:11" ht="12" customHeight="1" x14ac:dyDescent="0.3">
      <c r="A83" s="127"/>
      <c r="B83" s="143"/>
      <c r="C83" s="101" t="s">
        <v>244</v>
      </c>
      <c r="D83" s="35">
        <f>'EA_aruanne analüüs'!D83</f>
        <v>18920.669999999998</v>
      </c>
      <c r="E83" s="35">
        <v>20359.72</v>
      </c>
      <c r="F83" s="29">
        <f>'EA_aruanne analüüs'!F83</f>
        <v>20334.697999999997</v>
      </c>
      <c r="G83" s="29">
        <f>'EA_aruanne analüüs'!G83</f>
        <v>0</v>
      </c>
      <c r="H83" s="29">
        <f>'EA_aruanne analüüs'!H83</f>
        <v>0</v>
      </c>
      <c r="I83" s="29">
        <f t="shared" si="22"/>
        <v>20334.697999999997</v>
      </c>
      <c r="J83" s="35">
        <f t="shared" si="1"/>
        <v>1414.0279999999984</v>
      </c>
      <c r="K83" s="34">
        <f t="shared" si="2"/>
        <v>7.4734562782396111E-2</v>
      </c>
    </row>
    <row r="84" spans="1:11" ht="12" customHeight="1" x14ac:dyDescent="0.3">
      <c r="A84" s="127"/>
      <c r="B84" s="143"/>
      <c r="C84" s="101" t="s">
        <v>241</v>
      </c>
      <c r="D84" s="35">
        <f>'EA_aruanne analüüs'!D84</f>
        <v>13038.1</v>
      </c>
      <c r="E84" s="35">
        <v>13711.32</v>
      </c>
      <c r="F84" s="29">
        <f>'EA_aruanne analüüs'!F84</f>
        <v>13197.524000000001</v>
      </c>
      <c r="G84" s="29">
        <f>'EA_aruanne analüüs'!G84</f>
        <v>0</v>
      </c>
      <c r="H84" s="29">
        <f>'EA_aruanne analüüs'!H84</f>
        <v>0</v>
      </c>
      <c r="I84" s="29">
        <f t="shared" si="22"/>
        <v>13197.524000000001</v>
      </c>
      <c r="J84" s="35">
        <f t="shared" si="1"/>
        <v>159.42400000000089</v>
      </c>
      <c r="K84" s="34">
        <f t="shared" si="2"/>
        <v>1.222754849249514E-2</v>
      </c>
    </row>
    <row r="85" spans="1:11" ht="12" customHeight="1" x14ac:dyDescent="0.3">
      <c r="A85" s="127"/>
      <c r="B85" s="143"/>
      <c r="C85" s="101" t="s">
        <v>94</v>
      </c>
      <c r="D85" s="35">
        <f>'EA_aruanne analüüs'!D85</f>
        <v>29088.620000000003</v>
      </c>
      <c r="E85" s="35">
        <v>22685.040000000001</v>
      </c>
      <c r="F85" s="29">
        <f>'EA_aruanne analüüs'!F85</f>
        <v>29983.108</v>
      </c>
      <c r="G85" s="29">
        <f>'EA_aruanne analüüs'!G85</f>
        <v>0</v>
      </c>
      <c r="H85" s="29">
        <f>'EA_aruanne analüüs'!H85</f>
        <v>0</v>
      </c>
      <c r="I85" s="29">
        <f t="shared" si="22"/>
        <v>29983.108</v>
      </c>
      <c r="J85" s="35">
        <f t="shared" si="1"/>
        <v>894.48799999999756</v>
      </c>
      <c r="K85" s="34">
        <f t="shared" si="2"/>
        <v>3.0750444675615326E-2</v>
      </c>
    </row>
    <row r="86" spans="1:11" ht="12" customHeight="1" x14ac:dyDescent="0.3">
      <c r="A86" s="127"/>
      <c r="B86" s="143"/>
      <c r="C86" s="101" t="s">
        <v>95</v>
      </c>
      <c r="D86" s="35">
        <f>'EA_aruanne analüüs'!D86</f>
        <v>51902.58</v>
      </c>
      <c r="E86" s="35">
        <v>50877</v>
      </c>
      <c r="F86" s="29">
        <f>'EA_aruanne analüüs'!F86</f>
        <v>60081.667999999991</v>
      </c>
      <c r="G86" s="29">
        <f>'EA_aruanne analüüs'!G86</f>
        <v>0</v>
      </c>
      <c r="H86" s="29">
        <f>'EA_aruanne analüüs'!H86</f>
        <v>0</v>
      </c>
      <c r="I86" s="29">
        <f t="shared" si="22"/>
        <v>60081.667999999991</v>
      </c>
      <c r="J86" s="35">
        <f t="shared" si="1"/>
        <v>8179.0879999999888</v>
      </c>
      <c r="K86" s="34">
        <f t="shared" si="2"/>
        <v>0.15758538400210526</v>
      </c>
    </row>
    <row r="87" spans="1:11" ht="12" customHeight="1" x14ac:dyDescent="0.3">
      <c r="A87" s="127"/>
      <c r="B87" s="143"/>
      <c r="C87" s="38" t="s">
        <v>96</v>
      </c>
      <c r="D87" s="15">
        <f>'EA_aruanne analüüs'!D87</f>
        <v>523619.72999999992</v>
      </c>
      <c r="E87" s="15">
        <v>335831.09</v>
      </c>
      <c r="F87" s="15">
        <f>'EA_aruanne analüüs'!F87</f>
        <v>429328.63</v>
      </c>
      <c r="G87" s="15">
        <f>'EA_aruanne analüüs'!G87</f>
        <v>0</v>
      </c>
      <c r="H87" s="15">
        <f>'EA_aruanne analüüs'!H87</f>
        <v>0</v>
      </c>
      <c r="I87" s="15">
        <f t="shared" si="22"/>
        <v>429328.63</v>
      </c>
      <c r="J87" s="15">
        <f t="shared" si="1"/>
        <v>-94291.099999999919</v>
      </c>
      <c r="K87" s="10">
        <f t="shared" si="2"/>
        <v>-0.18007552923951115</v>
      </c>
    </row>
    <row r="88" spans="1:11" ht="12" customHeight="1" x14ac:dyDescent="0.3">
      <c r="A88" s="127"/>
      <c r="B88" s="143"/>
      <c r="C88" s="65" t="s">
        <v>224</v>
      </c>
      <c r="D88" s="35">
        <f>'EA_aruanne analüüs'!D88</f>
        <v>39483.78</v>
      </c>
      <c r="E88" s="35">
        <v>13662.5</v>
      </c>
      <c r="F88" s="29">
        <f>'EA_aruanne analüüs'!F88</f>
        <v>0</v>
      </c>
      <c r="G88" s="29">
        <f>'EA_aruanne analüüs'!G88</f>
        <v>0</v>
      </c>
      <c r="H88" s="29">
        <f>'EA_aruanne analüüs'!H88</f>
        <v>0</v>
      </c>
      <c r="I88" s="29">
        <f t="shared" si="22"/>
        <v>0</v>
      </c>
      <c r="J88" s="35">
        <f t="shared" si="1"/>
        <v>-39483.78</v>
      </c>
      <c r="K88" s="34">
        <f>(F88-D88)/D88</f>
        <v>-1</v>
      </c>
    </row>
    <row r="89" spans="1:11" ht="12" customHeight="1" x14ac:dyDescent="0.3">
      <c r="A89" s="127"/>
      <c r="B89" s="143"/>
      <c r="C89" s="65" t="s">
        <v>210</v>
      </c>
      <c r="D89" s="35">
        <f>'EA_aruanne analüüs'!D89</f>
        <v>89760.38</v>
      </c>
      <c r="E89" s="35">
        <v>68063.73</v>
      </c>
      <c r="F89" s="29">
        <f>'EA_aruanne analüüs'!F89</f>
        <v>82862.240000000005</v>
      </c>
      <c r="G89" s="29">
        <f>'EA_aruanne analüüs'!G89</f>
        <v>0</v>
      </c>
      <c r="H89" s="29">
        <f>'EA_aruanne analüüs'!H89</f>
        <v>0</v>
      </c>
      <c r="I89" s="29">
        <f t="shared" si="22"/>
        <v>82862.240000000005</v>
      </c>
      <c r="J89" s="35">
        <f t="shared" si="1"/>
        <v>-6898.1399999999994</v>
      </c>
      <c r="K89" s="97">
        <f t="shared" si="2"/>
        <v>-7.6850610480927103E-2</v>
      </c>
    </row>
    <row r="90" spans="1:11" ht="12" customHeight="1" x14ac:dyDescent="0.3">
      <c r="A90" s="127"/>
      <c r="B90" s="143"/>
      <c r="C90" s="65" t="s">
        <v>204</v>
      </c>
      <c r="D90" s="35">
        <f>'EA_aruanne analüüs'!D90</f>
        <v>71628.630000000019</v>
      </c>
      <c r="E90" s="35">
        <v>65894.36</v>
      </c>
      <c r="F90" s="29">
        <f>'EA_aruanne analüüs'!F90</f>
        <v>74551.63</v>
      </c>
      <c r="G90" s="29">
        <f>'EA_aruanne analüüs'!G90</f>
        <v>0</v>
      </c>
      <c r="H90" s="29">
        <f>'EA_aruanne analüüs'!H90</f>
        <v>0</v>
      </c>
      <c r="I90" s="29">
        <f t="shared" si="22"/>
        <v>74551.63</v>
      </c>
      <c r="J90" s="35">
        <f t="shared" si="1"/>
        <v>2922.9999999999854</v>
      </c>
      <c r="K90" s="34">
        <f t="shared" si="2"/>
        <v>4.0807704963783123E-2</v>
      </c>
    </row>
    <row r="91" spans="1:11" ht="12" customHeight="1" x14ac:dyDescent="0.3">
      <c r="A91" s="127"/>
      <c r="B91" s="143"/>
      <c r="C91" s="65" t="s">
        <v>98</v>
      </c>
      <c r="D91" s="35">
        <f>'EA_aruanne analüüs'!D92</f>
        <v>230879.38</v>
      </c>
      <c r="E91" s="35">
        <v>103193.86</v>
      </c>
      <c r="F91" s="29">
        <f>'EA_aruanne analüüs'!F92</f>
        <v>196708.84</v>
      </c>
      <c r="G91" s="29">
        <f>'EA_aruanne analüüs'!G92</f>
        <v>0</v>
      </c>
      <c r="H91" s="29">
        <f>'EA_aruanne analüüs'!H92</f>
        <v>0</v>
      </c>
      <c r="I91" s="29">
        <f t="shared" si="22"/>
        <v>196708.84</v>
      </c>
      <c r="J91" s="35">
        <f t="shared" si="1"/>
        <v>-34170.540000000008</v>
      </c>
      <c r="K91" s="34">
        <f t="shared" si="2"/>
        <v>-0.14800169681675343</v>
      </c>
    </row>
    <row r="92" spans="1:11" ht="12" customHeight="1" x14ac:dyDescent="0.3">
      <c r="A92" s="127"/>
      <c r="B92" s="143"/>
      <c r="C92" s="65" t="s">
        <v>99</v>
      </c>
      <c r="D92" s="35">
        <f>'EA_aruanne analüüs'!D93</f>
        <v>47492.619999999995</v>
      </c>
      <c r="E92" s="35">
        <v>25828.54</v>
      </c>
      <c r="F92" s="29">
        <f>'EA_aruanne analüüs'!F93</f>
        <v>29972.82</v>
      </c>
      <c r="G92" s="29">
        <f>'EA_aruanne analüüs'!G93</f>
        <v>0</v>
      </c>
      <c r="H92" s="29">
        <f>'EA_aruanne analüüs'!H93</f>
        <v>0</v>
      </c>
      <c r="I92" s="29">
        <f t="shared" si="22"/>
        <v>29972.82</v>
      </c>
      <c r="J92" s="35">
        <f t="shared" si="1"/>
        <v>-17519.799999999996</v>
      </c>
      <c r="K92" s="34">
        <f t="shared" si="2"/>
        <v>-0.36889520940306086</v>
      </c>
    </row>
    <row r="93" spans="1:11" ht="12" customHeight="1" x14ac:dyDescent="0.3">
      <c r="A93" s="127"/>
      <c r="B93" s="143"/>
      <c r="C93" s="65" t="s">
        <v>100</v>
      </c>
      <c r="D93" s="35">
        <f>'EA_aruanne analüüs'!D94</f>
        <v>44374.939999999995</v>
      </c>
      <c r="E93" s="35">
        <v>54260.55</v>
      </c>
      <c r="F93" s="29">
        <f>'EA_aruanne analüüs'!F94</f>
        <v>45233.100000000006</v>
      </c>
      <c r="G93" s="29">
        <f>'EA_aruanne analüüs'!G94</f>
        <v>0</v>
      </c>
      <c r="H93" s="29">
        <f>'EA_aruanne analüüs'!H94</f>
        <v>0</v>
      </c>
      <c r="I93" s="29">
        <f t="shared" si="22"/>
        <v>45233.100000000006</v>
      </c>
      <c r="J93" s="35">
        <f t="shared" si="1"/>
        <v>858.16000000001077</v>
      </c>
      <c r="K93" s="34">
        <f t="shared" si="2"/>
        <v>1.9338843049703524E-2</v>
      </c>
    </row>
    <row r="94" spans="1:11" ht="12" customHeight="1" x14ac:dyDescent="0.3">
      <c r="A94" s="127"/>
      <c r="B94" s="143"/>
      <c r="C94" s="38" t="s">
        <v>101</v>
      </c>
      <c r="D94" s="15">
        <f>'EA_aruanne analüüs'!D95</f>
        <v>39425.360000000001</v>
      </c>
      <c r="E94" s="15">
        <v>1069.3800000000001</v>
      </c>
      <c r="F94" s="15">
        <f>'EA_aruanne analüüs'!F95</f>
        <v>41376.959999999999</v>
      </c>
      <c r="G94" s="15">
        <f>'EA_aruanne analüüs'!G95</f>
        <v>0</v>
      </c>
      <c r="H94" s="15">
        <f>'EA_aruanne analüüs'!H95</f>
        <v>0</v>
      </c>
      <c r="I94" s="15">
        <f t="shared" si="22"/>
        <v>41376.959999999999</v>
      </c>
      <c r="J94" s="15">
        <f t="shared" si="1"/>
        <v>1951.5999999999985</v>
      </c>
      <c r="K94" s="34">
        <f>(F94-D94)/D94</f>
        <v>4.9501133280710652E-2</v>
      </c>
    </row>
    <row r="95" spans="1:11" ht="12" customHeight="1" x14ac:dyDescent="0.3">
      <c r="A95" s="127"/>
      <c r="B95" s="143"/>
      <c r="C95" s="101" t="s">
        <v>102</v>
      </c>
      <c r="D95" s="35">
        <f>'EA_aruanne analüüs'!D96</f>
        <v>39425.360000000001</v>
      </c>
      <c r="E95" s="35">
        <v>1069.3800000000001</v>
      </c>
      <c r="F95" s="29">
        <f>'EA_aruanne analüüs'!F96</f>
        <v>41376.959999999999</v>
      </c>
      <c r="G95" s="29">
        <f>'EA_aruanne analüüs'!G96</f>
        <v>0</v>
      </c>
      <c r="H95" s="29">
        <f>'EA_aruanne analüüs'!H96</f>
        <v>0</v>
      </c>
      <c r="I95" s="29">
        <f t="shared" si="22"/>
        <v>41376.959999999999</v>
      </c>
      <c r="J95" s="35">
        <f t="shared" si="1"/>
        <v>1951.5999999999985</v>
      </c>
      <c r="K95" s="34">
        <f t="shared" si="2"/>
        <v>4.9501133280710652E-2</v>
      </c>
    </row>
    <row r="96" spans="1:11" ht="12" customHeight="1" x14ac:dyDescent="0.3">
      <c r="A96" s="127"/>
      <c r="B96" s="143"/>
      <c r="C96" s="38" t="s">
        <v>103</v>
      </c>
      <c r="D96" s="15">
        <f>'EA_aruanne analüüs'!D97</f>
        <v>14000</v>
      </c>
      <c r="E96" s="15">
        <v>14271.87</v>
      </c>
      <c r="F96" s="15">
        <f>'EA_aruanne analüüs'!F97</f>
        <v>16000</v>
      </c>
      <c r="G96" s="15">
        <f>'EA_aruanne analüüs'!G97</f>
        <v>0</v>
      </c>
      <c r="H96" s="15">
        <f>'EA_aruanne analüüs'!H97</f>
        <v>0</v>
      </c>
      <c r="I96" s="15">
        <f t="shared" si="22"/>
        <v>16000</v>
      </c>
      <c r="J96" s="15">
        <f t="shared" si="1"/>
        <v>2000</v>
      </c>
      <c r="K96" s="10">
        <f t="shared" si="2"/>
        <v>0.14285714285714285</v>
      </c>
    </row>
    <row r="97" spans="1:12" ht="12" customHeight="1" x14ac:dyDescent="0.3">
      <c r="A97" s="127"/>
      <c r="B97" s="143"/>
      <c r="C97" s="38" t="s">
        <v>104</v>
      </c>
      <c r="D97" s="15">
        <f>'EA_aruanne analüüs'!D98</f>
        <v>25447.360000000001</v>
      </c>
      <c r="E97" s="15">
        <v>27136.15</v>
      </c>
      <c r="F97" s="15">
        <f>'EA_aruanne analüüs'!F98</f>
        <v>29448</v>
      </c>
      <c r="G97" s="15">
        <f>'EA_aruanne analüüs'!G98</f>
        <v>0</v>
      </c>
      <c r="H97" s="15">
        <f>'EA_aruanne analüüs'!H98</f>
        <v>0</v>
      </c>
      <c r="I97" s="15">
        <f t="shared" si="22"/>
        <v>29448</v>
      </c>
      <c r="J97" s="15">
        <f t="shared" ref="J97:J137" si="23">F97-D97</f>
        <v>4000.6399999999994</v>
      </c>
      <c r="K97" s="10">
        <f t="shared" ref="K97:K138" si="24">(F97-D97)/D97</f>
        <v>0.15721237880864652</v>
      </c>
    </row>
    <row r="98" spans="1:12" ht="12" customHeight="1" x14ac:dyDescent="0.3">
      <c r="A98" s="127"/>
      <c r="B98" s="144"/>
      <c r="C98" s="73" t="s">
        <v>105</v>
      </c>
      <c r="D98" s="19">
        <f>D73+D77+D78+D80+D87+D94+D96+D97</f>
        <v>1551617.6240000001</v>
      </c>
      <c r="E98" s="19">
        <f>E73+E77+E78+E80+E87+E94+E96+E97</f>
        <v>2089610.71</v>
      </c>
      <c r="F98" s="19">
        <f>F73+F77+F78+F80+F87+F94+F96+F97</f>
        <v>2825768.4780000001</v>
      </c>
      <c r="G98" s="19">
        <f>G73+G77+G78+G80+G87+G94+G96+G97</f>
        <v>0</v>
      </c>
      <c r="H98" s="19">
        <f>H73+H77+H78+H80+H87+H94+H96+H97</f>
        <v>0</v>
      </c>
      <c r="I98" s="19">
        <f t="shared" si="22"/>
        <v>2825768.4780000001</v>
      </c>
      <c r="J98" s="19">
        <f t="shared" si="23"/>
        <v>1274150.8540000001</v>
      </c>
      <c r="K98" s="20">
        <f t="shared" si="24"/>
        <v>0.8211758066496414</v>
      </c>
    </row>
    <row r="99" spans="1:12" ht="12" customHeight="1" x14ac:dyDescent="0.3">
      <c r="A99" s="127"/>
      <c r="B99" s="140" t="s">
        <v>89</v>
      </c>
      <c r="C99" s="38" t="s">
        <v>106</v>
      </c>
      <c r="D99" s="15">
        <f>'EA_aruanne analüüs'!D100</f>
        <v>1587608.6746666664</v>
      </c>
      <c r="E99" s="15">
        <v>1542777.3</v>
      </c>
      <c r="F99" s="15">
        <f>'EA_aruanne analüüs'!F100</f>
        <v>1832967.0511999996</v>
      </c>
      <c r="G99" s="15">
        <f>'EA_aruanne analüüs'!G100</f>
        <v>0</v>
      </c>
      <c r="H99" s="15">
        <f>'EA_aruanne analüüs'!H100</f>
        <v>0</v>
      </c>
      <c r="I99" s="15">
        <f t="shared" ref="I99:I119" si="25">SUM(F99:H99)</f>
        <v>1832967.0511999996</v>
      </c>
      <c r="J99" s="15">
        <f t="shared" si="23"/>
        <v>245358.37653333321</v>
      </c>
      <c r="K99" s="10">
        <f t="shared" si="24"/>
        <v>0.15454587799153249</v>
      </c>
    </row>
    <row r="100" spans="1:12" ht="12" customHeight="1" x14ac:dyDescent="0.3">
      <c r="A100" s="127"/>
      <c r="B100" s="145"/>
      <c r="C100" s="65" t="s">
        <v>304</v>
      </c>
      <c r="D100" s="35">
        <f>'EA_aruanne analüüs'!D101</f>
        <v>541552.49466666672</v>
      </c>
      <c r="E100" s="35">
        <v>527857.38</v>
      </c>
      <c r="F100" s="29">
        <f>'EA_aruanne analüüs'!F101</f>
        <v>587709.45199999993</v>
      </c>
      <c r="G100" s="29">
        <f>'EA_aruanne analüüs'!G101</f>
        <v>0</v>
      </c>
      <c r="H100" s="29">
        <f>'EA_aruanne analüüs'!H101</f>
        <v>0</v>
      </c>
      <c r="I100" s="29">
        <f t="shared" si="25"/>
        <v>587709.45199999993</v>
      </c>
      <c r="J100" s="35">
        <f t="shared" si="23"/>
        <v>46156.957333333208</v>
      </c>
      <c r="K100" s="34">
        <f t="shared" si="24"/>
        <v>8.5230809178976213E-2</v>
      </c>
    </row>
    <row r="101" spans="1:12" ht="12" customHeight="1" x14ac:dyDescent="0.3">
      <c r="A101" s="127"/>
      <c r="B101" s="145"/>
      <c r="C101" s="65" t="s">
        <v>921</v>
      </c>
      <c r="D101" s="35">
        <f>'EA_aruanne analüüs'!D102</f>
        <v>290332.61999999994</v>
      </c>
      <c r="E101" s="35">
        <v>313247.48</v>
      </c>
      <c r="F101" s="29">
        <f>'EA_aruanne analüüs'!F102</f>
        <v>359996.55640000006</v>
      </c>
      <c r="G101" s="29">
        <f>'EA_aruanne analüüs'!G102</f>
        <v>0</v>
      </c>
      <c r="H101" s="29">
        <f>'EA_aruanne analüüs'!H102</f>
        <v>0</v>
      </c>
      <c r="I101" s="29">
        <f t="shared" si="25"/>
        <v>359996.55640000006</v>
      </c>
      <c r="J101" s="35">
        <f t="shared" si="23"/>
        <v>69663.936400000122</v>
      </c>
      <c r="K101" s="34">
        <f t="shared" si="24"/>
        <v>0.23994526140397224</v>
      </c>
    </row>
    <row r="102" spans="1:12" ht="12" customHeight="1" x14ac:dyDescent="0.3">
      <c r="A102" s="127"/>
      <c r="B102" s="145"/>
      <c r="C102" s="65" t="s">
        <v>294</v>
      </c>
      <c r="D102" s="35">
        <f>'EA_aruanne analüüs'!D103</f>
        <v>173233.49999999997</v>
      </c>
      <c r="E102" s="35">
        <v>195571.95</v>
      </c>
      <c r="F102" s="29">
        <f>'EA_aruanne analüüs'!F103</f>
        <v>201231.55880000003</v>
      </c>
      <c r="G102" s="29">
        <f>'EA_aruanne analüüs'!G103</f>
        <v>0</v>
      </c>
      <c r="H102" s="29">
        <f>'EA_aruanne analüüs'!H103</f>
        <v>0</v>
      </c>
      <c r="I102" s="29">
        <f t="shared" si="25"/>
        <v>201231.55880000003</v>
      </c>
      <c r="J102" s="35">
        <f t="shared" si="23"/>
        <v>27998.058800000057</v>
      </c>
      <c r="K102" s="34">
        <f t="shared" si="24"/>
        <v>0.16162034941278713</v>
      </c>
    </row>
    <row r="103" spans="1:12" ht="12" customHeight="1" x14ac:dyDescent="0.3">
      <c r="A103" s="127"/>
      <c r="B103" s="145"/>
      <c r="C103" s="65" t="s">
        <v>259</v>
      </c>
      <c r="D103" s="35">
        <f>'EA_aruanne analüüs'!D104</f>
        <v>57783.85</v>
      </c>
      <c r="E103" s="35">
        <v>46026.64</v>
      </c>
      <c r="F103" s="29">
        <f>'EA_aruanne analüüs'!F104</f>
        <v>66182.828000000009</v>
      </c>
      <c r="G103" s="29">
        <f>'EA_aruanne analüüs'!G104</f>
        <v>0</v>
      </c>
      <c r="H103" s="29">
        <f>'EA_aruanne analüüs'!H104</f>
        <v>0</v>
      </c>
      <c r="I103" s="29">
        <f t="shared" si="25"/>
        <v>66182.828000000009</v>
      </c>
      <c r="J103" s="35">
        <f t="shared" si="23"/>
        <v>8398.9780000000101</v>
      </c>
      <c r="K103" s="34">
        <f t="shared" si="24"/>
        <v>0.14535165102359934</v>
      </c>
    </row>
    <row r="104" spans="1:12" ht="12" customHeight="1" x14ac:dyDescent="0.3">
      <c r="A104" s="127"/>
      <c r="B104" s="145"/>
      <c r="C104" s="65" t="s">
        <v>908</v>
      </c>
      <c r="D104" s="35">
        <f>'EA_aruanne analüüs'!D105</f>
        <v>127861.31999999999</v>
      </c>
      <c r="E104" s="35">
        <v>127429.61</v>
      </c>
      <c r="F104" s="29">
        <f>'EA_aruanne analüüs'!F105</f>
        <v>149796.31999999998</v>
      </c>
      <c r="G104" s="29">
        <f>'EA_aruanne analüüs'!G105</f>
        <v>0</v>
      </c>
      <c r="H104" s="29">
        <f>'EA_aruanne analüüs'!H105</f>
        <v>0</v>
      </c>
      <c r="I104" s="29">
        <f t="shared" si="25"/>
        <v>149796.31999999998</v>
      </c>
      <c r="J104" s="35">
        <f t="shared" si="23"/>
        <v>21934.999999999985</v>
      </c>
      <c r="K104" s="34">
        <f t="shared" si="24"/>
        <v>0.17155305451249828</v>
      </c>
    </row>
    <row r="105" spans="1:12" ht="12" customHeight="1" x14ac:dyDescent="0.3">
      <c r="A105" s="127"/>
      <c r="B105" s="145"/>
      <c r="C105" s="65" t="s">
        <v>288</v>
      </c>
      <c r="D105" s="35">
        <f>'EA_aruanne analüüs'!D106</f>
        <v>226298.75</v>
      </c>
      <c r="E105" s="35">
        <v>188832.85</v>
      </c>
      <c r="F105" s="29">
        <f>'EA_aruanne analüüs'!F106</f>
        <v>286702.11400000006</v>
      </c>
      <c r="G105" s="29">
        <f>'EA_aruanne analüüs'!G106</f>
        <v>0</v>
      </c>
      <c r="H105" s="29">
        <f>'EA_aruanne analüüs'!H106</f>
        <v>0</v>
      </c>
      <c r="I105" s="29">
        <f t="shared" si="25"/>
        <v>286702.11400000006</v>
      </c>
      <c r="J105" s="35">
        <f t="shared" si="23"/>
        <v>60403.36400000006</v>
      </c>
      <c r="K105" s="34">
        <f t="shared" si="24"/>
        <v>0.26691868161004006</v>
      </c>
    </row>
    <row r="106" spans="1:12" ht="12" customHeight="1" x14ac:dyDescent="0.3">
      <c r="A106" s="127"/>
      <c r="B106" s="145"/>
      <c r="C106" s="65" t="s">
        <v>277</v>
      </c>
      <c r="D106" s="35">
        <f>'EA_aruanne analüüs'!D107</f>
        <v>116576.14</v>
      </c>
      <c r="E106" s="35">
        <v>108526.45</v>
      </c>
      <c r="F106" s="29">
        <f>'EA_aruanne analüüs'!F107</f>
        <v>129044.22200000001</v>
      </c>
      <c r="G106" s="29">
        <f>'EA_aruanne analüüs'!G107</f>
        <v>0</v>
      </c>
      <c r="H106" s="29">
        <f>'EA_aruanne analüüs'!H107</f>
        <v>0</v>
      </c>
      <c r="I106" s="29">
        <f t="shared" si="25"/>
        <v>129044.22200000001</v>
      </c>
      <c r="J106" s="35">
        <f t="shared" si="23"/>
        <v>12468.082000000009</v>
      </c>
      <c r="K106" s="34">
        <f t="shared" si="24"/>
        <v>0.10695226313034563</v>
      </c>
    </row>
    <row r="107" spans="1:12" ht="12" customHeight="1" x14ac:dyDescent="0.3">
      <c r="A107" s="127"/>
      <c r="B107" s="145"/>
      <c r="C107" s="38" t="s">
        <v>107</v>
      </c>
      <c r="D107" s="15">
        <f>'EA_aruanne analüüs'!D108</f>
        <v>3235120.43</v>
      </c>
      <c r="E107" s="15">
        <v>3137675.24</v>
      </c>
      <c r="F107" s="15">
        <f>'EA_aruanne analüüs'!F108</f>
        <v>3499603.4204000002</v>
      </c>
      <c r="G107" s="15">
        <f>'EA_aruanne analüüs'!G108</f>
        <v>0</v>
      </c>
      <c r="H107" s="15">
        <f>'EA_aruanne analüüs'!H108</f>
        <v>0</v>
      </c>
      <c r="I107" s="15">
        <f t="shared" si="25"/>
        <v>3499603.4204000002</v>
      </c>
      <c r="J107" s="15">
        <f t="shared" si="23"/>
        <v>264482.99040000001</v>
      </c>
      <c r="K107" s="10">
        <f t="shared" si="24"/>
        <v>8.175367691025956E-2</v>
      </c>
    </row>
    <row r="108" spans="1:12" ht="12" customHeight="1" x14ac:dyDescent="0.3">
      <c r="A108" s="127"/>
      <c r="B108" s="145"/>
      <c r="C108" s="65" t="s">
        <v>263</v>
      </c>
      <c r="D108" s="35">
        <f>'EA_aruanne analüüs'!D109</f>
        <v>559775.15999999992</v>
      </c>
      <c r="E108" s="35">
        <v>496037.45</v>
      </c>
      <c r="F108" s="29">
        <f>'EA_aruanne analüüs'!F109</f>
        <v>612565.576</v>
      </c>
      <c r="G108" s="29">
        <f>'EA_aruanne analüüs'!G109</f>
        <v>0</v>
      </c>
      <c r="H108" s="29">
        <f>'EA_aruanne analüüs'!H109</f>
        <v>0</v>
      </c>
      <c r="I108" s="29">
        <f t="shared" si="25"/>
        <v>612565.576</v>
      </c>
      <c r="J108" s="35">
        <f t="shared" si="23"/>
        <v>52790.416000000085</v>
      </c>
      <c r="K108" s="34">
        <f t="shared" si="24"/>
        <v>9.4306464045314356E-2</v>
      </c>
    </row>
    <row r="109" spans="1:12" ht="12" customHeight="1" x14ac:dyDescent="0.3">
      <c r="A109" s="127"/>
      <c r="B109" s="145"/>
      <c r="C109" s="65" t="s">
        <v>256</v>
      </c>
      <c r="D109" s="35">
        <f>'EA_aruanne analüüs'!D110</f>
        <v>199483.51</v>
      </c>
      <c r="E109" s="35">
        <v>173015.63</v>
      </c>
      <c r="F109" s="29">
        <f>'EA_aruanne analüüs'!F110</f>
        <v>178784.22039999999</v>
      </c>
      <c r="G109" s="29">
        <f>'EA_aruanne analüüs'!G110</f>
        <v>0</v>
      </c>
      <c r="H109" s="29">
        <f>'EA_aruanne analüüs'!H110</f>
        <v>0</v>
      </c>
      <c r="I109" s="29">
        <f t="shared" si="25"/>
        <v>178784.22039999999</v>
      </c>
      <c r="J109" s="35">
        <f t="shared" si="23"/>
        <v>-20699.289600000018</v>
      </c>
      <c r="K109" s="34">
        <f t="shared" si="24"/>
        <v>-0.10376441441199835</v>
      </c>
    </row>
    <row r="110" spans="1:12" ht="12" customHeight="1" x14ac:dyDescent="0.3">
      <c r="A110" s="127"/>
      <c r="B110" s="145"/>
      <c r="C110" s="65" t="s">
        <v>249</v>
      </c>
      <c r="D110" s="35">
        <f>'EA_aruanne analüüs'!D111</f>
        <v>1658619.77</v>
      </c>
      <c r="E110" s="35">
        <v>1443273.63</v>
      </c>
      <c r="F110" s="29">
        <f>'EA_aruanne analüüs'!F111</f>
        <v>1711779.7299999997</v>
      </c>
      <c r="G110" s="29">
        <f>'EA_aruanne analüüs'!G111</f>
        <v>0</v>
      </c>
      <c r="H110" s="29">
        <f>'EA_aruanne analüüs'!H111</f>
        <v>0</v>
      </c>
      <c r="I110" s="29">
        <f t="shared" si="25"/>
        <v>1711779.7299999997</v>
      </c>
      <c r="J110" s="35">
        <f t="shared" si="23"/>
        <v>53159.95999999973</v>
      </c>
      <c r="K110" s="34">
        <f t="shared" si="24"/>
        <v>3.2050721305462146E-2</v>
      </c>
    </row>
    <row r="111" spans="1:12" ht="12" customHeight="1" x14ac:dyDescent="0.3">
      <c r="A111" s="127"/>
      <c r="B111" s="145"/>
      <c r="C111" s="65" t="s">
        <v>1566</v>
      </c>
      <c r="D111" s="35">
        <f>'EA_aruanne analüüs'!D112</f>
        <v>666224.99</v>
      </c>
      <c r="E111" s="35">
        <v>713467.71</v>
      </c>
      <c r="F111" s="29">
        <f>'EA_aruanne analüüs'!F112</f>
        <v>757971.01400000008</v>
      </c>
      <c r="G111" s="29">
        <f>'EA_aruanne analüüs'!G112</f>
        <v>0</v>
      </c>
      <c r="H111" s="29">
        <f>'EA_aruanne analüüs'!H112</f>
        <v>0</v>
      </c>
      <c r="I111" s="29">
        <f t="shared" si="25"/>
        <v>757971.01400000008</v>
      </c>
      <c r="J111" s="35">
        <f t="shared" si="23"/>
        <v>91746.024000000092</v>
      </c>
      <c r="K111" s="34">
        <f t="shared" si="24"/>
        <v>0.1377102711202714</v>
      </c>
      <c r="L111" s="44"/>
    </row>
    <row r="112" spans="1:12" ht="12" customHeight="1" x14ac:dyDescent="0.3">
      <c r="A112" s="127"/>
      <c r="B112" s="145"/>
      <c r="C112" s="38" t="s">
        <v>110</v>
      </c>
      <c r="D112" s="15">
        <f>'EA_aruanne analüüs'!D113</f>
        <v>130219</v>
      </c>
      <c r="E112" s="15">
        <v>175555.21</v>
      </c>
      <c r="F112" s="15">
        <f>'EA_aruanne analüüs'!F113</f>
        <v>116938.99999999999</v>
      </c>
      <c r="G112" s="15">
        <f>'EA_aruanne analüüs'!G113</f>
        <v>0</v>
      </c>
      <c r="H112" s="15">
        <f>'EA_aruanne analüüs'!H113</f>
        <v>0</v>
      </c>
      <c r="I112" s="15">
        <f t="shared" si="25"/>
        <v>116938.99999999999</v>
      </c>
      <c r="J112" s="15">
        <f t="shared" si="23"/>
        <v>-13280.000000000015</v>
      </c>
      <c r="K112" s="10">
        <f t="shared" si="24"/>
        <v>-0.10198204563082204</v>
      </c>
    </row>
    <row r="113" spans="1:11" ht="12" customHeight="1" x14ac:dyDescent="0.3">
      <c r="A113" s="127"/>
      <c r="B113" s="145"/>
      <c r="C113" s="65" t="s">
        <v>922</v>
      </c>
      <c r="D113" s="35">
        <f>'EA_aruanne analüüs'!D114</f>
        <v>130219</v>
      </c>
      <c r="E113" s="35">
        <v>135448.57</v>
      </c>
      <c r="F113" s="35">
        <f>'EA_aruanne analüüs'!F114</f>
        <v>116938.99999999999</v>
      </c>
      <c r="G113" s="35">
        <f>'EA_aruanne analüüs'!G114</f>
        <v>0</v>
      </c>
      <c r="H113" s="35">
        <f>'EA_aruanne analüüs'!H114</f>
        <v>0</v>
      </c>
      <c r="I113" s="35">
        <f t="shared" si="25"/>
        <v>116938.99999999999</v>
      </c>
      <c r="J113" s="35">
        <f t="shared" si="23"/>
        <v>-13280.000000000015</v>
      </c>
      <c r="K113" s="34">
        <f t="shared" si="24"/>
        <v>-0.10198204563082204</v>
      </c>
    </row>
    <row r="114" spans="1:11" ht="12" customHeight="1" x14ac:dyDescent="0.3">
      <c r="A114" s="127"/>
      <c r="B114" s="145"/>
      <c r="C114" s="38" t="s">
        <v>111</v>
      </c>
      <c r="D114" s="15">
        <f>'EA_aruanne analüüs'!D115</f>
        <v>299391.2</v>
      </c>
      <c r="E114" s="15">
        <v>263669.67</v>
      </c>
      <c r="F114" s="15">
        <f>'EA_aruanne analüüs'!F115</f>
        <v>300551.76</v>
      </c>
      <c r="G114" s="15">
        <f>'EA_aruanne analüüs'!G115</f>
        <v>0</v>
      </c>
      <c r="H114" s="15">
        <f>'EA_aruanne analüüs'!H115</f>
        <v>0</v>
      </c>
      <c r="I114" s="15">
        <f t="shared" si="25"/>
        <v>300551.76</v>
      </c>
      <c r="J114" s="15">
        <f t="shared" si="23"/>
        <v>1160.5599999999977</v>
      </c>
      <c r="K114" s="10">
        <f t="shared" si="24"/>
        <v>3.876399840743474E-3</v>
      </c>
    </row>
    <row r="115" spans="1:11" ht="12" customHeight="1" x14ac:dyDescent="0.3">
      <c r="A115" s="127"/>
      <c r="B115" s="145"/>
      <c r="C115" s="38" t="s">
        <v>112</v>
      </c>
      <c r="D115" s="15">
        <f>'EA_aruanne analüüs'!D116</f>
        <v>208744.6</v>
      </c>
      <c r="E115" s="15">
        <v>202759.11</v>
      </c>
      <c r="F115" s="15">
        <f>'EA_aruanne analüüs'!F116</f>
        <v>209950.2</v>
      </c>
      <c r="G115" s="15">
        <f>'EA_aruanne analüüs'!G116</f>
        <v>0</v>
      </c>
      <c r="H115" s="15">
        <f>'EA_aruanne analüüs'!H116</f>
        <v>0</v>
      </c>
      <c r="I115" s="15">
        <f t="shared" si="25"/>
        <v>209950.2</v>
      </c>
      <c r="J115" s="15">
        <f t="shared" si="23"/>
        <v>1205.6000000000058</v>
      </c>
      <c r="K115" s="26">
        <f t="shared" si="24"/>
        <v>5.7754787429231983E-3</v>
      </c>
    </row>
    <row r="116" spans="1:11" ht="12" customHeight="1" x14ac:dyDescent="0.3">
      <c r="A116" s="127"/>
      <c r="B116" s="145"/>
      <c r="C116" s="38" t="s">
        <v>113</v>
      </c>
      <c r="D116" s="15">
        <f>'EA_aruanne analüüs'!D117</f>
        <v>40756.120000000003</v>
      </c>
      <c r="E116" s="15">
        <v>42960.02</v>
      </c>
      <c r="F116" s="15">
        <f>'EA_aruanne analüüs'!F117</f>
        <v>46754.080000000009</v>
      </c>
      <c r="G116" s="15">
        <f>'EA_aruanne analüüs'!G117</f>
        <v>0</v>
      </c>
      <c r="H116" s="15">
        <f>'EA_aruanne analüüs'!H117</f>
        <v>0</v>
      </c>
      <c r="I116" s="15">
        <f t="shared" si="25"/>
        <v>46754.080000000009</v>
      </c>
      <c r="J116" s="15">
        <f t="shared" si="23"/>
        <v>5997.9600000000064</v>
      </c>
      <c r="K116" s="10">
        <f t="shared" si="24"/>
        <v>0.14716710030297306</v>
      </c>
    </row>
    <row r="117" spans="1:11" ht="12" customHeight="1" x14ac:dyDescent="0.3">
      <c r="A117" s="127"/>
      <c r="B117" s="145"/>
      <c r="C117" s="65" t="s">
        <v>261</v>
      </c>
      <c r="D117" s="35">
        <f>'EA_aruanne analüüs'!D118</f>
        <v>40756.120000000003</v>
      </c>
      <c r="E117" s="35">
        <v>42960.02</v>
      </c>
      <c r="F117" s="29">
        <f>'EA_aruanne analüüs'!F118</f>
        <v>46754.080000000009</v>
      </c>
      <c r="G117" s="29">
        <f>'EA_aruanne analüüs'!G118</f>
        <v>0</v>
      </c>
      <c r="H117" s="29">
        <f>'EA_aruanne analüüs'!H118</f>
        <v>0</v>
      </c>
      <c r="I117" s="29">
        <f t="shared" si="25"/>
        <v>46754.080000000009</v>
      </c>
      <c r="J117" s="35">
        <f t="shared" si="23"/>
        <v>5997.9600000000064</v>
      </c>
      <c r="K117" s="34">
        <f t="shared" si="24"/>
        <v>0.14716710030297306</v>
      </c>
    </row>
    <row r="118" spans="1:11" ht="12" customHeight="1" x14ac:dyDescent="0.3">
      <c r="A118" s="127"/>
      <c r="B118" s="145"/>
      <c r="C118" s="38" t="s">
        <v>114</v>
      </c>
      <c r="D118" s="15">
        <f>'EA_aruanne analüüs'!D119</f>
        <v>319531.79499999998</v>
      </c>
      <c r="E118" s="15">
        <v>101493.17</v>
      </c>
      <c r="F118" s="15">
        <f>'EA_aruanne analüüs'!F119</f>
        <v>320192.28000000003</v>
      </c>
      <c r="G118" s="15">
        <f>'EA_aruanne analüüs'!G119</f>
        <v>0</v>
      </c>
      <c r="H118" s="15">
        <f>'EA_aruanne analüüs'!H119</f>
        <v>0</v>
      </c>
      <c r="I118" s="15">
        <f t="shared" si="25"/>
        <v>320192.28000000003</v>
      </c>
      <c r="J118" s="15">
        <f t="shared" si="23"/>
        <v>660.48500000004424</v>
      </c>
      <c r="K118" s="10">
        <f t="shared" si="24"/>
        <v>2.0670399951906015E-3</v>
      </c>
    </row>
    <row r="119" spans="1:11" ht="12" customHeight="1" x14ac:dyDescent="0.3">
      <c r="A119" s="127"/>
      <c r="B119" s="141"/>
      <c r="C119" s="73" t="s">
        <v>115</v>
      </c>
      <c r="D119" s="19">
        <f>D99+D107+D112+D114+D115+D116+D118</f>
        <v>5821371.8196666669</v>
      </c>
      <c r="E119" s="19">
        <f>E99+E107+E112+E114+E115+E116+E118</f>
        <v>5466889.7199999997</v>
      </c>
      <c r="F119" s="19">
        <f>F99+F107+F112+F114+F115+F116+F118</f>
        <v>6326957.7916000001</v>
      </c>
      <c r="G119" s="19">
        <f>G99+G107+G112+G114+G115+G116+G118</f>
        <v>0</v>
      </c>
      <c r="H119" s="19">
        <f>H99+H107+H112+H114+H115+H116+H118</f>
        <v>0</v>
      </c>
      <c r="I119" s="19">
        <f t="shared" si="25"/>
        <v>6326957.7916000001</v>
      </c>
      <c r="J119" s="19">
        <f t="shared" si="23"/>
        <v>505585.9719333332</v>
      </c>
      <c r="K119" s="20">
        <f t="shared" si="24"/>
        <v>8.6849970693382572E-2</v>
      </c>
    </row>
    <row r="120" spans="1:11" ht="12" customHeight="1" x14ac:dyDescent="0.3">
      <c r="A120" s="127"/>
      <c r="B120" s="140" t="s">
        <v>91</v>
      </c>
      <c r="C120" s="38" t="s">
        <v>116</v>
      </c>
      <c r="D120" s="15">
        <f>'EA_aruanne analüüs'!D121</f>
        <v>8300</v>
      </c>
      <c r="E120" s="15">
        <v>0</v>
      </c>
      <c r="F120" s="15">
        <f>'EA_aruanne analüüs'!F121</f>
        <v>8300</v>
      </c>
      <c r="G120" s="15">
        <f>'EA_aruanne analüüs'!G121</f>
        <v>0</v>
      </c>
      <c r="H120" s="15">
        <f>'EA_aruanne analüüs'!H121</f>
        <v>0</v>
      </c>
      <c r="I120" s="15">
        <f t="shared" ref="I120:I137" si="26">SUM(F120:H120)</f>
        <v>8300</v>
      </c>
      <c r="J120" s="15">
        <f t="shared" si="23"/>
        <v>0</v>
      </c>
      <c r="K120" s="10">
        <f t="shared" si="24"/>
        <v>0</v>
      </c>
    </row>
    <row r="121" spans="1:11" ht="12" customHeight="1" x14ac:dyDescent="0.3">
      <c r="A121" s="127"/>
      <c r="B121" s="145"/>
      <c r="C121" s="38" t="s">
        <v>117</v>
      </c>
      <c r="D121" s="15">
        <f>'EA_aruanne analüüs'!D122</f>
        <v>24200</v>
      </c>
      <c r="E121" s="15">
        <v>15663</v>
      </c>
      <c r="F121" s="15">
        <f>'EA_aruanne analüüs'!F122</f>
        <v>14100</v>
      </c>
      <c r="G121" s="15">
        <f>'EA_aruanne analüüs'!G122</f>
        <v>0</v>
      </c>
      <c r="H121" s="15">
        <f>'EA_aruanne analüüs'!H122</f>
        <v>0</v>
      </c>
      <c r="I121" s="15">
        <f t="shared" si="26"/>
        <v>14100</v>
      </c>
      <c r="J121" s="15">
        <f t="shared" si="23"/>
        <v>-10100</v>
      </c>
      <c r="K121" s="10">
        <f>(F121-D121)/D121</f>
        <v>-0.41735537190082644</v>
      </c>
    </row>
    <row r="122" spans="1:11" ht="12" customHeight="1" x14ac:dyDescent="0.3">
      <c r="A122" s="127"/>
      <c r="B122" s="145"/>
      <c r="C122" s="38" t="s">
        <v>118</v>
      </c>
      <c r="D122" s="15">
        <f>'EA_aruanne analüüs'!D123</f>
        <v>413034.7</v>
      </c>
      <c r="E122" s="15">
        <v>388265.85</v>
      </c>
      <c r="F122" s="15">
        <f>'EA_aruanne analüüs'!F123</f>
        <v>370796.79999999999</v>
      </c>
      <c r="G122" s="15">
        <f>'EA_aruanne analüüs'!G123</f>
        <v>0</v>
      </c>
      <c r="H122" s="15">
        <f>'EA_aruanne analüüs'!H123</f>
        <v>0</v>
      </c>
      <c r="I122" s="15">
        <f t="shared" si="26"/>
        <v>370796.79999999999</v>
      </c>
      <c r="J122" s="15">
        <f t="shared" si="23"/>
        <v>-42237.900000000023</v>
      </c>
      <c r="K122" s="10">
        <f t="shared" si="24"/>
        <v>-0.10226235229146612</v>
      </c>
    </row>
    <row r="123" spans="1:11" ht="12" customHeight="1" x14ac:dyDescent="0.3">
      <c r="A123" s="127"/>
      <c r="B123" s="145"/>
      <c r="C123" s="38" t="s">
        <v>119</v>
      </c>
      <c r="D123" s="15">
        <f>'EA_aruanne analüüs'!D124</f>
        <v>1433527.98</v>
      </c>
      <c r="E123" s="15">
        <v>551328.88</v>
      </c>
      <c r="F123" s="15">
        <f>'EA_aruanne analüüs'!F124</f>
        <v>572490.07000000007</v>
      </c>
      <c r="G123" s="15">
        <f>'EA_aruanne analüüs'!G124</f>
        <v>0</v>
      </c>
      <c r="H123" s="15">
        <f>'EA_aruanne analüüs'!H124</f>
        <v>0</v>
      </c>
      <c r="I123" s="15">
        <f t="shared" si="26"/>
        <v>572490.07000000007</v>
      </c>
      <c r="J123" s="15">
        <f t="shared" si="23"/>
        <v>-861037.90999999992</v>
      </c>
      <c r="K123" s="10">
        <f t="shared" si="24"/>
        <v>-0.60064255599670957</v>
      </c>
    </row>
    <row r="124" spans="1:11" ht="12" customHeight="1" x14ac:dyDescent="0.3">
      <c r="A124" s="127"/>
      <c r="B124" s="145"/>
      <c r="C124" s="65" t="s">
        <v>165</v>
      </c>
      <c r="D124" s="35">
        <f>'EA_aruanne analüüs'!D125</f>
        <v>175722.39</v>
      </c>
      <c r="E124" s="35">
        <v>181998.07999999999</v>
      </c>
      <c r="F124" s="29">
        <f>'EA_aruanne analüüs'!F125</f>
        <v>167425.85</v>
      </c>
      <c r="G124" s="29">
        <f>'EA_aruanne analüüs'!G125</f>
        <v>0</v>
      </c>
      <c r="H124" s="29">
        <f>'EA_aruanne analüüs'!H125</f>
        <v>0</v>
      </c>
      <c r="I124" s="29">
        <f t="shared" si="26"/>
        <v>167425.85</v>
      </c>
      <c r="J124" s="35">
        <f t="shared" si="23"/>
        <v>-8296.5400000000081</v>
      </c>
      <c r="K124" s="34">
        <f t="shared" si="24"/>
        <v>-4.7213903703449557E-2</v>
      </c>
    </row>
    <row r="125" spans="1:11" ht="12" customHeight="1" x14ac:dyDescent="0.3">
      <c r="A125" s="127"/>
      <c r="B125" s="145"/>
      <c r="C125" s="65" t="s">
        <v>145</v>
      </c>
      <c r="D125" s="35">
        <f>'EA_aruanne analüüs'!D126</f>
        <v>1129124.8899999999</v>
      </c>
      <c r="E125" s="35">
        <v>285987.48</v>
      </c>
      <c r="F125" s="29">
        <f>'EA_aruanne analüüs'!F126</f>
        <v>270809.59999999998</v>
      </c>
      <c r="G125" s="29">
        <f>'EA_aruanne analüüs'!G126</f>
        <v>0</v>
      </c>
      <c r="H125" s="29">
        <f>'EA_aruanne analüüs'!H126</f>
        <v>0</v>
      </c>
      <c r="I125" s="29">
        <f t="shared" si="26"/>
        <v>270809.59999999998</v>
      </c>
      <c r="J125" s="35">
        <f t="shared" si="23"/>
        <v>-858315.28999999992</v>
      </c>
      <c r="K125" s="34">
        <f t="shared" si="24"/>
        <v>-0.76015974636782646</v>
      </c>
    </row>
    <row r="126" spans="1:11" ht="12" customHeight="1" x14ac:dyDescent="0.3">
      <c r="A126" s="127"/>
      <c r="B126" s="145"/>
      <c r="C126" s="65" t="s">
        <v>951</v>
      </c>
      <c r="D126" s="35">
        <f>'EA_aruanne analüüs'!D127</f>
        <v>14680.7</v>
      </c>
      <c r="E126" s="35">
        <v>12753.29</v>
      </c>
      <c r="F126" s="29">
        <f>'EA_aruanne analüüs'!F127</f>
        <v>14254.619999999999</v>
      </c>
      <c r="G126" s="29">
        <f>'EA_aruanne analüüs'!G127</f>
        <v>0</v>
      </c>
      <c r="H126" s="29">
        <f>'EA_aruanne analüüs'!H127</f>
        <v>0</v>
      </c>
      <c r="I126" s="29">
        <f t="shared" si="26"/>
        <v>14254.619999999999</v>
      </c>
      <c r="J126" s="35">
        <f t="shared" si="23"/>
        <v>-426.08000000000175</v>
      </c>
      <c r="K126" s="97">
        <f t="shared" si="24"/>
        <v>-2.9023139223606623E-2</v>
      </c>
    </row>
    <row r="127" spans="1:11" ht="12" customHeight="1" x14ac:dyDescent="0.3">
      <c r="A127" s="127"/>
      <c r="B127" s="145"/>
      <c r="C127" s="38" t="s">
        <v>120</v>
      </c>
      <c r="D127" s="15">
        <f>'EA_aruanne analüüs'!D128</f>
        <v>70487.42</v>
      </c>
      <c r="E127" s="15">
        <v>108892.44</v>
      </c>
      <c r="F127" s="15">
        <f>'EA_aruanne analüüs'!F128</f>
        <v>74051.040000000008</v>
      </c>
      <c r="G127" s="15">
        <f>'EA_aruanne analüüs'!G128</f>
        <v>0</v>
      </c>
      <c r="H127" s="15">
        <f>'EA_aruanne analüüs'!H128</f>
        <v>0</v>
      </c>
      <c r="I127" s="15">
        <f t="shared" si="26"/>
        <v>74051.040000000008</v>
      </c>
      <c r="J127" s="15">
        <f t="shared" si="23"/>
        <v>3563.6200000000099</v>
      </c>
      <c r="K127" s="10">
        <f t="shared" si="24"/>
        <v>5.0556822763551425E-2</v>
      </c>
    </row>
    <row r="128" spans="1:11" ht="12" customHeight="1" x14ac:dyDescent="0.3">
      <c r="A128" s="127"/>
      <c r="B128" s="145"/>
      <c r="C128" s="38" t="s">
        <v>121</v>
      </c>
      <c r="D128" s="15">
        <f>'EA_aruanne analüüs'!D129</f>
        <v>992911.57</v>
      </c>
      <c r="E128" s="15">
        <v>731327.5</v>
      </c>
      <c r="F128" s="15">
        <f>'EA_aruanne analüüs'!F129</f>
        <v>1005653.28</v>
      </c>
      <c r="G128" s="15">
        <f>'EA_aruanne analüüs'!G129</f>
        <v>0</v>
      </c>
      <c r="H128" s="15">
        <f>'EA_aruanne analüüs'!H129</f>
        <v>0</v>
      </c>
      <c r="I128" s="15">
        <f t="shared" si="26"/>
        <v>1005653.28</v>
      </c>
      <c r="J128" s="15">
        <f t="shared" si="23"/>
        <v>12741.710000000079</v>
      </c>
      <c r="K128" s="10">
        <f t="shared" si="24"/>
        <v>1.2832673507873496E-2</v>
      </c>
    </row>
    <row r="129" spans="1:11" ht="12" customHeight="1" x14ac:dyDescent="0.3">
      <c r="A129" s="127"/>
      <c r="B129" s="145"/>
      <c r="C129" s="65" t="s">
        <v>458</v>
      </c>
      <c r="D129" s="35">
        <f>'EA_aruanne analüüs'!D130</f>
        <v>788009.44</v>
      </c>
      <c r="E129" s="35">
        <v>578158.27</v>
      </c>
      <c r="F129" s="29">
        <f>'EA_aruanne analüüs'!F130</f>
        <v>837984</v>
      </c>
      <c r="G129" s="29">
        <f>'EA_aruanne analüüs'!G130</f>
        <v>0</v>
      </c>
      <c r="H129" s="15">
        <f>'EA_aruanne analüüs'!H130</f>
        <v>0</v>
      </c>
      <c r="I129" s="29">
        <f t="shared" si="26"/>
        <v>837984</v>
      </c>
      <c r="J129" s="35">
        <f t="shared" si="23"/>
        <v>49974.560000000056</v>
      </c>
      <c r="K129" s="97">
        <f t="shared" si="24"/>
        <v>6.3418732648685097E-2</v>
      </c>
    </row>
    <row r="130" spans="1:11" ht="12" customHeight="1" x14ac:dyDescent="0.3">
      <c r="A130" s="127"/>
      <c r="B130" s="145"/>
      <c r="C130" s="38" t="s">
        <v>122</v>
      </c>
      <c r="D130" s="15">
        <f>'EA_aruanne analüüs'!D131</f>
        <v>138038.16</v>
      </c>
      <c r="E130" s="15">
        <v>159925.84</v>
      </c>
      <c r="F130" s="15">
        <f>'EA_aruanne analüüs'!F131</f>
        <v>128378.16</v>
      </c>
      <c r="G130" s="15">
        <f>'EA_aruanne analüüs'!G131</f>
        <v>0</v>
      </c>
      <c r="H130" s="15">
        <f>'EA_aruanne analüüs'!H131</f>
        <v>0</v>
      </c>
      <c r="I130" s="15">
        <f t="shared" si="26"/>
        <v>128378.16</v>
      </c>
      <c r="J130" s="15">
        <f t="shared" si="23"/>
        <v>-9660</v>
      </c>
      <c r="K130" s="10">
        <f t="shared" si="24"/>
        <v>-6.9980648829280248E-2</v>
      </c>
    </row>
    <row r="131" spans="1:11" ht="12" customHeight="1" x14ac:dyDescent="0.3">
      <c r="A131" s="127"/>
      <c r="B131" s="145"/>
      <c r="C131" s="38" t="s">
        <v>123</v>
      </c>
      <c r="D131" s="15">
        <f>'EA_aruanne analüüs'!D132</f>
        <v>3600</v>
      </c>
      <c r="E131" s="15">
        <v>0</v>
      </c>
      <c r="F131" s="15">
        <f>'EA_aruanne analüüs'!F132</f>
        <v>3000</v>
      </c>
      <c r="G131" s="15">
        <f>'EA_aruanne analüüs'!G132</f>
        <v>0</v>
      </c>
      <c r="H131" s="15">
        <f>'EA_aruanne analüüs'!H132</f>
        <v>0</v>
      </c>
      <c r="I131" s="15">
        <f t="shared" si="26"/>
        <v>3000</v>
      </c>
      <c r="J131" s="15">
        <f t="shared" si="23"/>
        <v>-600</v>
      </c>
      <c r="K131" s="10">
        <f t="shared" si="24"/>
        <v>-0.16666666666666666</v>
      </c>
    </row>
    <row r="132" spans="1:11" ht="12" customHeight="1" x14ac:dyDescent="0.3">
      <c r="A132" s="127"/>
      <c r="B132" s="145"/>
      <c r="C132" s="38" t="s">
        <v>124</v>
      </c>
      <c r="D132" s="15">
        <f>'EA_aruanne analüüs'!D133</f>
        <v>27000</v>
      </c>
      <c r="E132" s="15">
        <v>38373.040000000001</v>
      </c>
      <c r="F132" s="15">
        <f>'EA_aruanne analüüs'!F133</f>
        <v>31000</v>
      </c>
      <c r="G132" s="15">
        <f>'EA_aruanne analüüs'!G133</f>
        <v>0</v>
      </c>
      <c r="H132" s="15">
        <f>'EA_aruanne analüüs'!H133</f>
        <v>0</v>
      </c>
      <c r="I132" s="15">
        <f t="shared" si="26"/>
        <v>31000</v>
      </c>
      <c r="J132" s="15">
        <f t="shared" si="23"/>
        <v>4000</v>
      </c>
      <c r="K132" s="10">
        <f t="shared" si="24"/>
        <v>0.14814814814814814</v>
      </c>
    </row>
    <row r="133" spans="1:11" ht="12" customHeight="1" x14ac:dyDescent="0.3">
      <c r="A133" s="127"/>
      <c r="B133" s="145"/>
      <c r="C133" s="38" t="s">
        <v>371</v>
      </c>
      <c r="D133" s="15">
        <f>'EA_aruanne analüüs'!D134</f>
        <v>2000</v>
      </c>
      <c r="E133" s="15">
        <v>0</v>
      </c>
      <c r="F133" s="15">
        <f>'EA_aruanne analüüs'!F134</f>
        <v>700</v>
      </c>
      <c r="G133" s="15">
        <f>'EA_aruanne analüüs'!G134</f>
        <v>0</v>
      </c>
      <c r="H133" s="15">
        <f>'EA_aruanne analüüs'!H134</f>
        <v>0</v>
      </c>
      <c r="I133" s="15">
        <f t="shared" si="26"/>
        <v>700</v>
      </c>
      <c r="J133" s="15">
        <f t="shared" si="23"/>
        <v>-1300</v>
      </c>
      <c r="K133" s="10">
        <v>1</v>
      </c>
    </row>
    <row r="134" spans="1:11" ht="12" customHeight="1" x14ac:dyDescent="0.3">
      <c r="A134" s="127"/>
      <c r="B134" s="145"/>
      <c r="C134" s="38" t="s">
        <v>125</v>
      </c>
      <c r="D134" s="15">
        <f>'EA_aruanne analüüs'!D135</f>
        <v>91442.81</v>
      </c>
      <c r="E134" s="15">
        <v>76557.570000000007</v>
      </c>
      <c r="F134" s="15">
        <f>'EA_aruanne analüüs'!F135</f>
        <v>83207</v>
      </c>
      <c r="G134" s="15">
        <f>'EA_aruanne analüüs'!G135</f>
        <v>0</v>
      </c>
      <c r="H134" s="15">
        <f>'EA_aruanne analüüs'!H135</f>
        <v>0</v>
      </c>
      <c r="I134" s="15">
        <f t="shared" si="26"/>
        <v>83207</v>
      </c>
      <c r="J134" s="15">
        <f t="shared" si="23"/>
        <v>-8235.8099999999977</v>
      </c>
      <c r="K134" s="10">
        <f t="shared" si="24"/>
        <v>-9.0065145635835092E-2</v>
      </c>
    </row>
    <row r="135" spans="1:11" ht="12" customHeight="1" x14ac:dyDescent="0.3">
      <c r="A135" s="127"/>
      <c r="B135" s="145"/>
      <c r="C135" s="38" t="s">
        <v>126</v>
      </c>
      <c r="D135" s="15">
        <f>'EA_aruanne analüüs'!D136</f>
        <v>83240</v>
      </c>
      <c r="E135" s="15">
        <v>3995.19</v>
      </c>
      <c r="F135" s="15">
        <f>'EA_aruanne analüüs'!F136</f>
        <v>23740</v>
      </c>
      <c r="G135" s="15">
        <f>'EA_aruanne analüüs'!G136</f>
        <v>0</v>
      </c>
      <c r="H135" s="15">
        <f>'EA_aruanne analüüs'!H136</f>
        <v>0</v>
      </c>
      <c r="I135" s="15">
        <f t="shared" si="26"/>
        <v>23740</v>
      </c>
      <c r="J135" s="15">
        <f t="shared" si="23"/>
        <v>-59500</v>
      </c>
      <c r="K135" s="10">
        <f t="shared" si="24"/>
        <v>-0.7148005766458434</v>
      </c>
    </row>
    <row r="136" spans="1:11" ht="12" customHeight="1" x14ac:dyDescent="0.3">
      <c r="A136" s="127"/>
      <c r="B136" s="145"/>
      <c r="C136" s="38" t="s">
        <v>127</v>
      </c>
      <c r="D136" s="15">
        <f>'EA_aruanne analüüs'!D137</f>
        <v>149235.37</v>
      </c>
      <c r="E136" s="15">
        <v>147245.57999999999</v>
      </c>
      <c r="F136" s="15">
        <f>'EA_aruanne analüüs'!F137</f>
        <v>168096.96000000002</v>
      </c>
      <c r="G136" s="15">
        <f>'EA_aruanne analüüs'!G137</f>
        <v>0</v>
      </c>
      <c r="H136" s="15">
        <f>'EA_aruanne analüüs'!H137</f>
        <v>0</v>
      </c>
      <c r="I136" s="15">
        <f t="shared" si="26"/>
        <v>168096.96000000002</v>
      </c>
      <c r="J136" s="15">
        <f t="shared" si="23"/>
        <v>18861.590000000026</v>
      </c>
      <c r="K136" s="10">
        <f t="shared" si="24"/>
        <v>0.12638820140292498</v>
      </c>
    </row>
    <row r="137" spans="1:11" ht="12" customHeight="1" x14ac:dyDescent="0.3">
      <c r="A137" s="127"/>
      <c r="B137" s="141"/>
      <c r="C137" s="73" t="s">
        <v>128</v>
      </c>
      <c r="D137" s="19">
        <f>SUM(D120:D123)+D127+D128+SUM(D130:D136)</f>
        <v>3437018.01</v>
      </c>
      <c r="E137" s="19">
        <f>SUM(E120:E123)+E127+E128+SUM(E130:E136)</f>
        <v>2221574.8899999997</v>
      </c>
      <c r="F137" s="19">
        <f>SUM(F120:F123)+F127+F128+SUM(F130:F136)</f>
        <v>2483513.31</v>
      </c>
      <c r="G137" s="19">
        <f>SUM(G120:G123)+G127+G128+SUM(G130:G136)</f>
        <v>0</v>
      </c>
      <c r="H137" s="19">
        <f>SUM(H120:H123)+H127+H128+SUM(H130:H136)</f>
        <v>0</v>
      </c>
      <c r="I137" s="19">
        <f t="shared" si="26"/>
        <v>2483513.31</v>
      </c>
      <c r="J137" s="19">
        <f t="shared" si="23"/>
        <v>-953504.69999999972</v>
      </c>
      <c r="K137" s="20">
        <f t="shared" si="24"/>
        <v>-0.27742208426775156</v>
      </c>
    </row>
    <row r="138" spans="1:11" ht="12" customHeight="1" x14ac:dyDescent="0.3">
      <c r="A138" s="127"/>
      <c r="B138" s="73" t="s">
        <v>129</v>
      </c>
      <c r="C138" s="73"/>
      <c r="D138" s="21">
        <f>D137+D119+D98+D72+D70+D60+D57+D53+D50+D49</f>
        <v>15293975.381416667</v>
      </c>
      <c r="E138" s="21">
        <f>E137+E119+E98+E72+E70+E60+E57+E53+E50+E49</f>
        <v>12165244.650000002</v>
      </c>
      <c r="F138" s="21">
        <f>F137+F119+F98+F72+F70+F60+F57+F53+F50+F49</f>
        <v>14763760.852987999</v>
      </c>
      <c r="G138" s="21">
        <f>G137+G119+G98+G72+G70+G60+G57+G53+G50+G49</f>
        <v>0</v>
      </c>
      <c r="H138" s="21">
        <f>H137+H119+H98+H72+H70+H60+H57+H53+H50+H49</f>
        <v>0</v>
      </c>
      <c r="I138" s="21">
        <f t="shared" ref="I138" si="27">SUM(F138:G138)</f>
        <v>14763760.852987999</v>
      </c>
      <c r="J138" s="21">
        <f>F138-D138</f>
        <v>-530214.52842866816</v>
      </c>
      <c r="K138" s="22">
        <f t="shared" si="24"/>
        <v>-3.4668195495653718E-2</v>
      </c>
    </row>
    <row r="139" spans="1:11" ht="12" customHeight="1" x14ac:dyDescent="0.3">
      <c r="A139" s="127" t="s">
        <v>130</v>
      </c>
      <c r="B139" s="127" t="s">
        <v>131</v>
      </c>
      <c r="C139" s="71" t="s">
        <v>132</v>
      </c>
      <c r="D139" s="15">
        <f>'EA_aruanne analüüs'!D140</f>
        <v>4094855.65</v>
      </c>
      <c r="E139" s="9">
        <v>3401400.75</v>
      </c>
      <c r="F139" s="9">
        <f>'EA_aruanne analüüs'!F140</f>
        <v>5636464.9299999997</v>
      </c>
      <c r="G139" s="9">
        <f>'EA_aruanne analüüs'!G140</f>
        <v>0</v>
      </c>
      <c r="H139" s="9"/>
      <c r="I139" s="9">
        <f>'EA_aruanne analüüs'!I140</f>
        <v>5636464.9299999997</v>
      </c>
      <c r="J139" s="9"/>
      <c r="K139" s="10"/>
    </row>
    <row r="140" spans="1:11" ht="12" customHeight="1" x14ac:dyDescent="0.3">
      <c r="A140" s="127"/>
      <c r="B140" s="127"/>
      <c r="C140" s="71" t="s">
        <v>133</v>
      </c>
      <c r="D140" s="15">
        <f>'EA_aruanne analüüs'!D141</f>
        <v>1961957.8</v>
      </c>
      <c r="E140" s="9">
        <v>1349408.02</v>
      </c>
      <c r="F140" s="9">
        <f>'EA_aruanne analüüs'!F141</f>
        <v>1210954.3665833292</v>
      </c>
      <c r="G140" s="9">
        <f>'EA_aruanne analüüs'!G141</f>
        <v>0</v>
      </c>
      <c r="H140" s="9"/>
      <c r="I140" s="9">
        <f>'EA_aruanne analüüs'!I141</f>
        <v>1210954.3665833292</v>
      </c>
      <c r="J140" s="9"/>
      <c r="K140" s="10"/>
    </row>
    <row r="141" spans="1:11" ht="12" customHeight="1" x14ac:dyDescent="0.3">
      <c r="A141" s="127"/>
      <c r="B141" s="127" t="s">
        <v>134</v>
      </c>
      <c r="C141" s="71" t="s">
        <v>132</v>
      </c>
      <c r="D141" s="15">
        <f>'EA_aruanne analüüs'!D142</f>
        <v>5636464.9299999997</v>
      </c>
      <c r="E141" s="15">
        <f>E139+E40</f>
        <v>2946304.94</v>
      </c>
      <c r="F141" s="9">
        <f>'EA_aruanne analüüs'!F142</f>
        <v>6562629.5499999998</v>
      </c>
      <c r="G141" s="9">
        <f>'EA_aruanne analüüs'!G142</f>
        <v>0</v>
      </c>
      <c r="H141" s="9"/>
      <c r="I141" s="9">
        <f>'EA_aruanne analüüs'!I142</f>
        <v>6562629.5499999998</v>
      </c>
      <c r="J141" s="9"/>
      <c r="K141" s="10"/>
    </row>
    <row r="142" spans="1:11" ht="12" customHeight="1" x14ac:dyDescent="0.3">
      <c r="A142" s="127"/>
      <c r="B142" s="127"/>
      <c r="C142" s="71" t="s">
        <v>133</v>
      </c>
      <c r="D142" s="15">
        <f>'EA_aruanne analüüs'!D143</f>
        <v>1210954.3665833292</v>
      </c>
      <c r="E142" s="15">
        <v>86907.85</v>
      </c>
      <c r="F142" s="9">
        <f>'EA_aruanne analüüs'!F143</f>
        <v>180164.53119532368</v>
      </c>
      <c r="G142" s="9">
        <f>'EA_aruanne analüüs'!G143</f>
        <v>0</v>
      </c>
      <c r="H142" s="9"/>
      <c r="I142" s="9">
        <f>'EA_aruanne analüüs'!I143</f>
        <v>180164.53119532368</v>
      </c>
      <c r="J142" s="9"/>
      <c r="K142" s="10"/>
    </row>
    <row r="144" spans="1:11" x14ac:dyDescent="0.3">
      <c r="D144" s="106"/>
    </row>
  </sheetData>
  <mergeCells count="42">
    <mergeCell ref="A139:A142"/>
    <mergeCell ref="B139:B140"/>
    <mergeCell ref="B141:B142"/>
    <mergeCell ref="A41:C41"/>
    <mergeCell ref="A43:A138"/>
    <mergeCell ref="B43:B49"/>
    <mergeCell ref="B50:B51"/>
    <mergeCell ref="B52:B53"/>
    <mergeCell ref="B54:B57"/>
    <mergeCell ref="B58:B60"/>
    <mergeCell ref="B61:B70"/>
    <mergeCell ref="B71:B72"/>
    <mergeCell ref="B73:B98"/>
    <mergeCell ref="B99:B119"/>
    <mergeCell ref="B120:B137"/>
    <mergeCell ref="B34:C34"/>
    <mergeCell ref="B35:C35"/>
    <mergeCell ref="B36:C36"/>
    <mergeCell ref="A37:C37"/>
    <mergeCell ref="A38:A40"/>
    <mergeCell ref="B38:C38"/>
    <mergeCell ref="B39:C39"/>
    <mergeCell ref="B40:C40"/>
    <mergeCell ref="A29:A36"/>
    <mergeCell ref="B29:C29"/>
    <mergeCell ref="B30:C30"/>
    <mergeCell ref="B31:C31"/>
    <mergeCell ref="B32:C32"/>
    <mergeCell ref="B33:C33"/>
    <mergeCell ref="A19:A27"/>
    <mergeCell ref="B19:B22"/>
    <mergeCell ref="B23:B26"/>
    <mergeCell ref="B27:C27"/>
    <mergeCell ref="A28:C28"/>
    <mergeCell ref="F3:I3"/>
    <mergeCell ref="D3:E3"/>
    <mergeCell ref="A4:C4"/>
    <mergeCell ref="A5:A18"/>
    <mergeCell ref="B5:B7"/>
    <mergeCell ref="B9:B12"/>
    <mergeCell ref="B13:B17"/>
    <mergeCell ref="B18:C18"/>
  </mergeCells>
  <pageMargins left="0.7" right="0.7" top="0.75" bottom="0.75" header="0.3" footer="0.3"/>
  <pageSetup paperSize="8" scale="67"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OutlineSymbols="0" showWhiteSpace="0" zoomScale="85" zoomScaleNormal="85" zoomScaleSheetLayoutView="100" workbookViewId="0">
      <pane ySplit="1" topLeftCell="A2" activePane="bottomLeft" state="frozenSplit"/>
      <selection pane="bottomLeft" activeCell="B39" activeCellId="1" sqref="B48 B39"/>
    </sheetView>
  </sheetViews>
  <sheetFormatPr defaultColWidth="9.109375" defaultRowHeight="13.8" x14ac:dyDescent="0.25"/>
  <cols>
    <col min="1" max="1" width="88" style="41" bestFit="1" customWidth="1"/>
    <col min="2" max="2" width="12.5546875" style="41" bestFit="1" customWidth="1"/>
    <col min="3" max="3" width="16.5546875" style="41" customWidth="1"/>
    <col min="4" max="4" width="37.6640625" style="41" bestFit="1" customWidth="1"/>
    <col min="5" max="5" width="14.5546875" style="41" customWidth="1"/>
    <col min="6" max="6" width="23.88671875" style="41" bestFit="1" customWidth="1"/>
    <col min="7" max="7" width="10.44140625" style="41" customWidth="1"/>
    <col min="8" max="8" width="12" style="41" customWidth="1"/>
    <col min="9" max="9" width="12.109375" style="41" customWidth="1"/>
    <col min="10" max="10" width="13.88671875" style="41" bestFit="1" customWidth="1"/>
    <col min="11" max="11" width="15" style="41" customWidth="1"/>
    <col min="12" max="12" width="37.6640625" style="41" bestFit="1" customWidth="1"/>
    <col min="13" max="13" width="9.88671875" style="41" customWidth="1"/>
    <col min="14" max="14" width="17.5546875" style="41" bestFit="1" customWidth="1"/>
    <col min="15" max="15" width="23.88671875" style="41" bestFit="1" customWidth="1"/>
    <col min="16" max="16" width="45.5546875" style="41" bestFit="1" customWidth="1"/>
    <col min="17" max="17" width="9.109375" style="41"/>
    <col min="18" max="18" width="12.33203125" style="68" customWidth="1"/>
    <col min="19" max="16384" width="9.109375" style="41"/>
  </cols>
  <sheetData>
    <row r="1" spans="1:19" x14ac:dyDescent="0.25">
      <c r="A1" s="41" t="s">
        <v>777</v>
      </c>
      <c r="B1" s="41" t="s">
        <v>776</v>
      </c>
      <c r="C1" s="41" t="s">
        <v>775</v>
      </c>
      <c r="D1" s="41" t="s">
        <v>780</v>
      </c>
      <c r="E1" s="41" t="s">
        <v>774</v>
      </c>
      <c r="F1" s="41" t="s">
        <v>781</v>
      </c>
      <c r="G1" s="41" t="s">
        <v>773</v>
      </c>
      <c r="H1" s="41" t="s">
        <v>778</v>
      </c>
      <c r="I1" s="41" t="s">
        <v>772</v>
      </c>
      <c r="J1" s="41" t="s">
        <v>782</v>
      </c>
      <c r="K1" s="41" t="s">
        <v>783</v>
      </c>
      <c r="L1" s="41" t="s">
        <v>786</v>
      </c>
      <c r="M1" s="41" t="s">
        <v>771</v>
      </c>
      <c r="N1" s="41" t="s">
        <v>779</v>
      </c>
      <c r="O1" s="41" t="s">
        <v>787</v>
      </c>
      <c r="P1" s="41" t="s">
        <v>785</v>
      </c>
      <c r="Q1" s="41" t="s">
        <v>986</v>
      </c>
      <c r="R1" s="68" t="s">
        <v>991</v>
      </c>
      <c r="S1" s="41" t="s">
        <v>987</v>
      </c>
    </row>
    <row r="2" spans="1:19" hidden="1" x14ac:dyDescent="0.25">
      <c r="A2" s="57" t="s">
        <v>1567</v>
      </c>
      <c r="B2" s="57">
        <v>182000</v>
      </c>
      <c r="C2" s="60">
        <v>3502</v>
      </c>
      <c r="D2" s="57" t="s">
        <v>914</v>
      </c>
      <c r="E2" s="57" t="s">
        <v>910</v>
      </c>
      <c r="F2" s="57" t="s">
        <v>911</v>
      </c>
      <c r="G2" s="57" t="s">
        <v>1</v>
      </c>
      <c r="H2" s="57" t="s">
        <v>1</v>
      </c>
      <c r="I2" s="57" t="s">
        <v>726</v>
      </c>
      <c r="J2" s="57" t="s">
        <v>703</v>
      </c>
      <c r="K2" s="57" t="s">
        <v>725</v>
      </c>
      <c r="L2" s="57" t="str">
        <f>VLOOKUP(Table15[[#This Row],[Tegevusala kood]],Table4[[Tegevusala kood]:[Tegevusala alanimetus]],2,FALSE)</f>
        <v>Kergliiklusteed</v>
      </c>
      <c r="M2" s="57" t="s">
        <v>1</v>
      </c>
      <c r="N2" s="57" t="s">
        <v>1</v>
      </c>
      <c r="O2" s="57" t="str">
        <f>VLOOKUP(Table15[[#This Row],[Eelarvekonto]],Table5[[Konto]:[Kontode alanimetus]],5,FALSE)</f>
        <v>Põhivara soetuseks saadav sihtfinantseerimine (+)</v>
      </c>
      <c r="P2" s="57" t="str">
        <f>VLOOKUP(Table15[[#This Row],[Tegevusala kood]],Table4[[Tegevusala kood]:[Tegevusala alanimetus]],4,FALSE)</f>
        <v>Vaba aja üritused</v>
      </c>
      <c r="Q2" s="57"/>
      <c r="R2" s="57"/>
      <c r="S2" s="57">
        <f>Table15[[#This Row],[Summa]]+Table15[[#This Row],[I Muudatus]]+Table15[[#This Row],[II Muudatus]]</f>
        <v>182000</v>
      </c>
    </row>
    <row r="3" spans="1:19" hidden="1" x14ac:dyDescent="0.25">
      <c r="A3" s="57" t="s">
        <v>898</v>
      </c>
      <c r="B3" s="57"/>
      <c r="C3" s="60">
        <v>3502</v>
      </c>
      <c r="D3" s="57" t="s">
        <v>914</v>
      </c>
      <c r="E3" s="57" t="s">
        <v>910</v>
      </c>
      <c r="F3" s="57" t="s">
        <v>911</v>
      </c>
      <c r="G3" s="57" t="s">
        <v>1</v>
      </c>
      <c r="H3" s="57" t="s">
        <v>1</v>
      </c>
      <c r="I3" s="57" t="s">
        <v>726</v>
      </c>
      <c r="J3" s="57" t="s">
        <v>703</v>
      </c>
      <c r="K3" s="57" t="s">
        <v>146</v>
      </c>
      <c r="L3" s="57" t="str">
        <f>VLOOKUP(Table15[[#This Row],[Tegevusala kood]],Table4[[Tegevusala kood]:[Tegevusala alanimetus]],2,FALSE)</f>
        <v>Ulvi Kodu</v>
      </c>
      <c r="M3" s="57" t="s">
        <v>1</v>
      </c>
      <c r="N3" s="57" t="s">
        <v>1</v>
      </c>
      <c r="O3" s="57" t="str">
        <f>VLOOKUP(Table15[[#This Row],[Eelarvekonto]],Table5[[Konto]:[Kontode alanimetus]],5,FALSE)</f>
        <v>Põhivara soetuseks saadav sihtfinantseerimine (+)</v>
      </c>
      <c r="P3" s="57" t="str">
        <f>VLOOKUP(Table15[[#This Row],[Tegevusala kood]],Table4[[Tegevusala kood]:[Tegevusala alanimetus]],4,FALSE)</f>
        <v>Eakate sotsiaalhoolekande asutused</v>
      </c>
      <c r="Q3" s="57"/>
      <c r="R3" s="57"/>
      <c r="S3" s="57">
        <f>Table15[[#This Row],[Summa]]+Table15[[#This Row],[I Muudatus]]+Table15[[#This Row],[II Muudatus]]</f>
        <v>0</v>
      </c>
    </row>
    <row r="4" spans="1:19" hidden="1" x14ac:dyDescent="0.25">
      <c r="A4" s="57" t="s">
        <v>915</v>
      </c>
      <c r="B4" s="57">
        <v>60600</v>
      </c>
      <c r="C4" s="60">
        <v>3502</v>
      </c>
      <c r="D4" s="57" t="s">
        <v>914</v>
      </c>
      <c r="E4" s="57" t="s">
        <v>910</v>
      </c>
      <c r="F4" s="57" t="s">
        <v>911</v>
      </c>
      <c r="G4" s="57" t="s">
        <v>1</v>
      </c>
      <c r="H4" s="57" t="s">
        <v>1</v>
      </c>
      <c r="I4" s="57" t="s">
        <v>409</v>
      </c>
      <c r="J4" s="57" t="s">
        <v>408</v>
      </c>
      <c r="K4" s="57" t="s">
        <v>410</v>
      </c>
      <c r="L4" s="57" t="str">
        <f>VLOOKUP(Table15[[#This Row],[Tegevusala kood]],Table4[[Tegevusala kood]:[Tegevusala alanimetus]],2,FALSE)</f>
        <v>Muu majandus (sh majanduse haldus)</v>
      </c>
      <c r="M4" s="57" t="s">
        <v>1</v>
      </c>
      <c r="N4" s="57" t="s">
        <v>1</v>
      </c>
      <c r="O4" s="57" t="str">
        <f>VLOOKUP(Table15[[#This Row],[Eelarvekonto]],Table5[[Konto]:[Kontode alanimetus]],5,FALSE)</f>
        <v>Põhivara soetuseks saadav sihtfinantseerimine (+)</v>
      </c>
      <c r="P4" s="57" t="str">
        <f>VLOOKUP(Table15[[#This Row],[Tegevusala kood]],Table4[[Tegevusala kood]:[Tegevusala alanimetus]],4,FALSE)</f>
        <v>Muu majandus (sh majanduse haldus)</v>
      </c>
      <c r="Q4" s="57"/>
      <c r="R4" s="57"/>
      <c r="S4" s="57">
        <f>Table15[[#This Row],[Summa]]+Table15[[#This Row],[I Muudatus]]+Table15[[#This Row],[II Muudatus]]</f>
        <v>60600</v>
      </c>
    </row>
    <row r="5" spans="1:19" hidden="1" x14ac:dyDescent="0.25">
      <c r="A5" s="57" t="s">
        <v>978</v>
      </c>
      <c r="B5" s="57">
        <v>0</v>
      </c>
      <c r="C5" s="60">
        <v>3502</v>
      </c>
      <c r="D5" s="57" t="s">
        <v>914</v>
      </c>
      <c r="E5" s="57" t="s">
        <v>910</v>
      </c>
      <c r="F5" s="57" t="s">
        <v>911</v>
      </c>
      <c r="G5" s="57" t="s">
        <v>1</v>
      </c>
      <c r="H5" s="57" t="s">
        <v>1</v>
      </c>
      <c r="I5" s="57" t="s">
        <v>409</v>
      </c>
      <c r="J5" s="57" t="s">
        <v>408</v>
      </c>
      <c r="K5" s="57" t="s">
        <v>688</v>
      </c>
      <c r="L5" s="57" t="str">
        <f>VLOOKUP(Table15[[#This Row],[Tegevusala kood]],Table4[[Tegevusala kood]:[Tegevusala alanimetus]],2,FALSE)</f>
        <v>Tänavavalgustus</v>
      </c>
      <c r="M5" s="57" t="s">
        <v>1</v>
      </c>
      <c r="N5" s="57" t="s">
        <v>1</v>
      </c>
      <c r="O5" s="57" t="str">
        <f>VLOOKUP(Table15[[#This Row],[Eelarvekonto]],Table5[[Konto]:[Kontode alanimetus]],5,FALSE)</f>
        <v>Põhivara soetuseks saadav sihtfinantseerimine (+)</v>
      </c>
      <c r="P5" s="57" t="str">
        <f>VLOOKUP(Table15[[#This Row],[Tegevusala kood]],Table4[[Tegevusala kood]:[Tegevusala alanimetus]],4,FALSE)</f>
        <v>Tänavavalgustus</v>
      </c>
      <c r="Q5" s="57"/>
      <c r="R5" s="57"/>
      <c r="S5" s="57">
        <f>Table15[[#This Row],[Summa]]+Table15[[#This Row],[I Muudatus]]+Table15[[#This Row],[II Muudatus]]</f>
        <v>0</v>
      </c>
    </row>
    <row r="6" spans="1:19" hidden="1" x14ac:dyDescent="0.25">
      <c r="A6" s="42" t="s">
        <v>923</v>
      </c>
      <c r="B6" s="42">
        <v>60000</v>
      </c>
      <c r="C6" s="53">
        <v>3233</v>
      </c>
      <c r="D6" s="42" t="s">
        <v>923</v>
      </c>
      <c r="E6" s="42" t="s">
        <v>764</v>
      </c>
      <c r="F6" s="42" t="s">
        <v>7</v>
      </c>
      <c r="G6" s="42" t="s">
        <v>1</v>
      </c>
      <c r="H6" s="42" t="s">
        <v>1</v>
      </c>
      <c r="I6" s="42" t="s">
        <v>139</v>
      </c>
      <c r="J6" s="42" t="s">
        <v>54</v>
      </c>
      <c r="K6" s="42" t="s">
        <v>404</v>
      </c>
      <c r="L6" s="42" t="str">
        <f>VLOOKUP(Table15[[#This Row],[Tegevusala kood]],Table4[[Tegevusala kood]:[Tegevusala alanimetus]],2,FALSE)</f>
        <v>Valla- ja linnavalitsus</v>
      </c>
      <c r="M6" s="42" t="s">
        <v>912</v>
      </c>
      <c r="N6" s="42" t="s">
        <v>913</v>
      </c>
      <c r="O6" s="53" t="str">
        <f>VLOOKUP(Table15[[#This Row],[Eelarvekonto]],Table5[[Konto]:[Kontode alanimetus]],5,FALSE)</f>
        <v>Tulud kaupade ja teenuste müügist</v>
      </c>
      <c r="P6" s="53" t="str">
        <f>VLOOKUP(Table15[[#This Row],[Tegevusala kood]],Table4[[Tegevusala kood]:[Tegevusala alanimetus]],4,FALSE)</f>
        <v>Valla- ja linnavalitsus</v>
      </c>
      <c r="Q6" s="42"/>
      <c r="R6" s="42"/>
      <c r="S6" s="42">
        <f>Table15[[#This Row],[Summa]]+Table15[[#This Row],[I Muudatus]]+Table15[[#This Row],[II Muudatus]]</f>
        <v>60000</v>
      </c>
    </row>
    <row r="7" spans="1:19" hidden="1" x14ac:dyDescent="0.25">
      <c r="A7" s="57" t="s">
        <v>924</v>
      </c>
      <c r="B7" s="57">
        <v>5190</v>
      </c>
      <c r="C7" s="60">
        <v>3227</v>
      </c>
      <c r="D7" s="57" t="s">
        <v>924</v>
      </c>
      <c r="E7" s="57" t="s">
        <v>764</v>
      </c>
      <c r="F7" s="57" t="s">
        <v>7</v>
      </c>
      <c r="G7" s="57" t="s">
        <v>1</v>
      </c>
      <c r="H7" s="57" t="s">
        <v>1</v>
      </c>
      <c r="I7" s="57" t="s">
        <v>139</v>
      </c>
      <c r="J7" s="57" t="s">
        <v>54</v>
      </c>
      <c r="K7" s="57" t="s">
        <v>404</v>
      </c>
      <c r="L7" s="57" t="str">
        <f>VLOOKUP(Table15[[#This Row],[Tegevusala kood]],Table4[[Tegevusala kood]:[Tegevusala alanimetus]],2,FALSE)</f>
        <v>Valla- ja linnavalitsus</v>
      </c>
      <c r="M7" s="57" t="s">
        <v>912</v>
      </c>
      <c r="N7" s="57" t="s">
        <v>913</v>
      </c>
      <c r="O7" s="60" t="str">
        <f>VLOOKUP(Table15[[#This Row],[Eelarvekonto]],Table5[[Konto]:[Kontode alanimetus]],5,FALSE)</f>
        <v>Tulud kaupade ja teenuste müügist</v>
      </c>
      <c r="P7" s="60" t="str">
        <f>VLOOKUP(Table15[[#This Row],[Tegevusala kood]],Table4[[Tegevusala kood]:[Tegevusala alanimetus]],4,FALSE)</f>
        <v>Valla- ja linnavalitsus</v>
      </c>
      <c r="Q7" s="57"/>
      <c r="R7" s="57"/>
      <c r="S7" s="57">
        <f>Table15[[#This Row],[Summa]]+Table15[[#This Row],[I Muudatus]]+Table15[[#This Row],[II Muudatus]]</f>
        <v>5190</v>
      </c>
    </row>
    <row r="8" spans="1:19" hidden="1" x14ac:dyDescent="0.25">
      <c r="A8" s="42" t="s">
        <v>963</v>
      </c>
      <c r="B8" s="42">
        <v>3100</v>
      </c>
      <c r="C8" s="53">
        <v>3225</v>
      </c>
      <c r="D8" s="42" t="s">
        <v>925</v>
      </c>
      <c r="E8" s="42" t="s">
        <v>764</v>
      </c>
      <c r="F8" s="42" t="s">
        <v>7</v>
      </c>
      <c r="G8" s="42" t="s">
        <v>1</v>
      </c>
      <c r="H8" s="42" t="s">
        <v>1</v>
      </c>
      <c r="I8" s="42" t="s">
        <v>139</v>
      </c>
      <c r="J8" s="42" t="s">
        <v>54</v>
      </c>
      <c r="K8" s="42" t="s">
        <v>404</v>
      </c>
      <c r="L8" s="42" t="str">
        <f>VLOOKUP(Table15[[#This Row],[Tegevusala kood]],Table4[[Tegevusala kood]:[Tegevusala alanimetus]],2,FALSE)</f>
        <v>Valla- ja linnavalitsus</v>
      </c>
      <c r="M8" s="42" t="s">
        <v>912</v>
      </c>
      <c r="N8" s="42" t="s">
        <v>913</v>
      </c>
      <c r="O8" s="53" t="str">
        <f>VLOOKUP(Table15[[#This Row],[Eelarvekonto]],Table5[[Konto]:[Kontode alanimetus]],5,FALSE)</f>
        <v>Tulud kaupade ja teenuste müügist</v>
      </c>
      <c r="P8" s="53" t="str">
        <f>VLOOKUP(Table15[[#This Row],[Tegevusala kood]],Table4[[Tegevusala kood]:[Tegevusala alanimetus]],4,FALSE)</f>
        <v>Valla- ja linnavalitsus</v>
      </c>
      <c r="Q8" s="42"/>
      <c r="R8" s="42"/>
      <c r="S8" s="42">
        <f>Table15[[#This Row],[Summa]]+Table15[[#This Row],[I Muudatus]]+Table15[[#This Row],[II Muudatus]]</f>
        <v>3100</v>
      </c>
    </row>
    <row r="9" spans="1:19" x14ac:dyDescent="0.25">
      <c r="A9" s="42" t="s">
        <v>926</v>
      </c>
      <c r="B9" s="99">
        <v>5900</v>
      </c>
      <c r="C9" s="53">
        <v>3224</v>
      </c>
      <c r="D9" s="42" t="s">
        <v>927</v>
      </c>
      <c r="E9" s="42" t="s">
        <v>764</v>
      </c>
      <c r="F9" s="42" t="s">
        <v>7</v>
      </c>
      <c r="G9" s="42" t="s">
        <v>928</v>
      </c>
      <c r="H9" s="42" t="s">
        <v>926</v>
      </c>
      <c r="I9" s="42" t="s">
        <v>139</v>
      </c>
      <c r="J9" s="42" t="s">
        <v>54</v>
      </c>
      <c r="K9" s="42" t="s">
        <v>404</v>
      </c>
      <c r="L9" s="42" t="str">
        <f>VLOOKUP(Table15[[#This Row],[Tegevusala kood]],Table4[[Tegevusala kood]:[Tegevusala alanimetus]],2,FALSE)</f>
        <v>Valla- ja linnavalitsus</v>
      </c>
      <c r="M9" s="42" t="s">
        <v>912</v>
      </c>
      <c r="N9" s="42" t="s">
        <v>913</v>
      </c>
      <c r="O9" s="53" t="str">
        <f>VLOOKUP(Table15[[#This Row],[Eelarvekonto]],Table5[[Konto]:[Kontode alanimetus]],5,FALSE)</f>
        <v>Tulud kaupade ja teenuste müügist</v>
      </c>
      <c r="P9" s="53" t="str">
        <f>VLOOKUP(Table15[[#This Row],[Tegevusala kood]],Table4[[Tegevusala kood]:[Tegevusala alanimetus]],4,FALSE)</f>
        <v>Valla- ja linnavalitsus</v>
      </c>
      <c r="Q9" s="42"/>
      <c r="R9" s="42"/>
      <c r="S9" s="42">
        <f>Table15[[#This Row],[Summa]]+Table15[[#This Row],[I Muudatus]]+Table15[[#This Row],[II Muudatus]]</f>
        <v>5900</v>
      </c>
    </row>
    <row r="10" spans="1:19" hidden="1" x14ac:dyDescent="0.25">
      <c r="A10" s="57" t="s">
        <v>929</v>
      </c>
      <c r="B10" s="57">
        <v>30000</v>
      </c>
      <c r="C10" s="60">
        <v>3500</v>
      </c>
      <c r="D10" s="57" t="s">
        <v>930</v>
      </c>
      <c r="E10" s="57" t="s">
        <v>764</v>
      </c>
      <c r="F10" s="57" t="s">
        <v>7</v>
      </c>
      <c r="G10" s="57" t="s">
        <v>262</v>
      </c>
      <c r="H10" s="57" t="s">
        <v>261</v>
      </c>
      <c r="I10" s="57" t="s">
        <v>139</v>
      </c>
      <c r="J10" s="57" t="s">
        <v>54</v>
      </c>
      <c r="K10" s="57" t="s">
        <v>404</v>
      </c>
      <c r="L10" s="57" t="str">
        <f>VLOOKUP(Table15[[#This Row],[Tegevusala kood]],Table4[[Tegevusala kood]:[Tegevusala alanimetus]],2,FALSE)</f>
        <v>Valla- ja linnavalitsus</v>
      </c>
      <c r="M10" s="57" t="s">
        <v>912</v>
      </c>
      <c r="N10" s="57" t="s">
        <v>913</v>
      </c>
      <c r="O10" s="60" t="str">
        <f>VLOOKUP(Table15[[#This Row],[Eelarvekonto]],Table5[[Konto]:[Kontode alanimetus]],5,FALSE)</f>
        <v>Muud saadud toetused tegevuskuludeks</v>
      </c>
      <c r="P10" s="60" t="str">
        <f>VLOOKUP(Table15[[#This Row],[Tegevusala kood]],Table4[[Tegevusala kood]:[Tegevusala alanimetus]],4,FALSE)</f>
        <v>Valla- ja linnavalitsus</v>
      </c>
      <c r="Q10" s="57"/>
      <c r="R10" s="57"/>
      <c r="S10" s="57">
        <f>Table15[[#This Row],[Summa]]+Table15[[#This Row],[I Muudatus]]+Table15[[#This Row],[II Muudatus]]</f>
        <v>30000</v>
      </c>
    </row>
    <row r="11" spans="1:19" hidden="1" x14ac:dyDescent="0.25">
      <c r="A11" s="41" t="s">
        <v>9</v>
      </c>
      <c r="B11" s="42">
        <f>(5184730.38*0.02)+5184730.38</f>
        <v>5288424.9875999996</v>
      </c>
      <c r="C11" s="52">
        <v>3000</v>
      </c>
      <c r="D11" s="41" t="s">
        <v>931</v>
      </c>
      <c r="E11" s="41" t="s">
        <v>764</v>
      </c>
      <c r="F11" s="41" t="s">
        <v>7</v>
      </c>
      <c r="G11" s="41" t="s">
        <v>1</v>
      </c>
      <c r="H11" s="41" t="s">
        <v>1</v>
      </c>
      <c r="I11" s="41" t="s">
        <v>139</v>
      </c>
      <c r="J11" s="41" t="s">
        <v>54</v>
      </c>
      <c r="K11" s="41" t="s">
        <v>404</v>
      </c>
      <c r="L11" s="41" t="str">
        <f>VLOOKUP(Table15[[#This Row],[Tegevusala kood]],Table4[[Tegevusala kood]:[Tegevusala alanimetus]],2,FALSE)</f>
        <v>Valla- ja linnavalitsus</v>
      </c>
      <c r="M11" s="41" t="s">
        <v>912</v>
      </c>
      <c r="N11" s="41" t="s">
        <v>913</v>
      </c>
      <c r="O11" s="53" t="str">
        <f>VLOOKUP(Table15[[#This Row],[Eelarvekonto]],Table5[[Konto]:[Kontode alanimetus]],5,FALSE)</f>
        <v>Füüsilise isiku tulumaks</v>
      </c>
      <c r="P11" s="53" t="str">
        <f>VLOOKUP(Table15[[#This Row],[Tegevusala kood]],Table4[[Tegevusala kood]:[Tegevusala alanimetus]],4,FALSE)</f>
        <v>Valla- ja linnavalitsus</v>
      </c>
      <c r="S11" s="41">
        <f>Table15[[#This Row],[Summa]]+Table15[[#This Row],[I Muudatus]]+Table15[[#This Row],[II Muudatus]]</f>
        <v>5288424.9875999996</v>
      </c>
    </row>
    <row r="12" spans="1:19" hidden="1" x14ac:dyDescent="0.25">
      <c r="A12" s="42" t="s">
        <v>806</v>
      </c>
      <c r="B12" s="42">
        <v>14900</v>
      </c>
      <c r="C12" s="53">
        <v>382540</v>
      </c>
      <c r="D12" s="42" t="s">
        <v>806</v>
      </c>
      <c r="E12" s="42" t="s">
        <v>764</v>
      </c>
      <c r="F12" s="42" t="s">
        <v>7</v>
      </c>
      <c r="G12" s="42" t="s">
        <v>1</v>
      </c>
      <c r="H12" s="42" t="s">
        <v>1</v>
      </c>
      <c r="I12" s="42" t="s">
        <v>139</v>
      </c>
      <c r="J12" s="42" t="s">
        <v>54</v>
      </c>
      <c r="K12" s="42" t="s">
        <v>404</v>
      </c>
      <c r="L12" s="42" t="str">
        <f>VLOOKUP(Table15[[#This Row],[Tegevusala kood]],Table4[[Tegevusala kood]:[Tegevusala alanimetus]],2,FALSE)</f>
        <v>Valla- ja linnavalitsus</v>
      </c>
      <c r="M12" s="42" t="s">
        <v>912</v>
      </c>
      <c r="N12" s="42" t="s">
        <v>913</v>
      </c>
      <c r="O12" s="53" t="str">
        <f>VLOOKUP(Table15[[#This Row],[Eelarvekonto]],Table5[[Konto]:[Kontode alanimetus]],5,FALSE)</f>
        <v>Laekumine vee erikasutusest</v>
      </c>
      <c r="P12" s="53" t="str">
        <f>VLOOKUP(Table15[[#This Row],[Tegevusala kood]],Table4[[Tegevusala kood]:[Tegevusala alanimetus]],4,FALSE)</f>
        <v>Valla- ja linnavalitsus</v>
      </c>
      <c r="Q12" s="42"/>
      <c r="R12" s="42"/>
      <c r="S12" s="42">
        <f>Table15[[#This Row],[Summa]]+Table15[[#This Row],[I Muudatus]]+Table15[[#This Row],[II Muudatus]]</f>
        <v>14900</v>
      </c>
    </row>
    <row r="13" spans="1:19" hidden="1" x14ac:dyDescent="0.25">
      <c r="A13" s="42" t="s">
        <v>19</v>
      </c>
      <c r="B13" s="42">
        <v>17100</v>
      </c>
      <c r="C13" s="53">
        <v>382510</v>
      </c>
      <c r="D13" s="42" t="s">
        <v>19</v>
      </c>
      <c r="E13" s="42" t="s">
        <v>764</v>
      </c>
      <c r="F13" s="42" t="s">
        <v>7</v>
      </c>
      <c r="G13" s="42" t="s">
        <v>1</v>
      </c>
      <c r="H13" s="42" t="s">
        <v>1</v>
      </c>
      <c r="I13" s="42" t="s">
        <v>139</v>
      </c>
      <c r="J13" s="42" t="s">
        <v>54</v>
      </c>
      <c r="K13" s="42" t="s">
        <v>404</v>
      </c>
      <c r="L13" s="42" t="str">
        <f>VLOOKUP(Table15[[#This Row],[Tegevusala kood]],Table4[[Tegevusala kood]:[Tegevusala alanimetus]],2,FALSE)</f>
        <v>Valla- ja linnavalitsus</v>
      </c>
      <c r="M13" s="42" t="s">
        <v>912</v>
      </c>
      <c r="N13" s="42" t="s">
        <v>913</v>
      </c>
      <c r="O13" s="53" t="str">
        <f>VLOOKUP(Table15[[#This Row],[Eelarvekonto]],Table5[[Konto]:[Kontode alanimetus]],5,FALSE)</f>
        <v>Kohaliku tähtsusega maardlate kaevandamisõiguse tasu</v>
      </c>
      <c r="P13" s="53" t="str">
        <f>VLOOKUP(Table15[[#This Row],[Tegevusala kood]],Table4[[Tegevusala kood]:[Tegevusala alanimetus]],4,FALSE)</f>
        <v>Valla- ja linnavalitsus</v>
      </c>
      <c r="Q13" s="42"/>
      <c r="R13" s="42"/>
      <c r="S13" s="42">
        <f>Table15[[#This Row],[Summa]]+Table15[[#This Row],[I Muudatus]]+Table15[[#This Row],[II Muudatus]]</f>
        <v>17100</v>
      </c>
    </row>
    <row r="14" spans="1:19" hidden="1" x14ac:dyDescent="0.25">
      <c r="A14" s="42" t="s">
        <v>288</v>
      </c>
      <c r="B14" s="42">
        <v>3800</v>
      </c>
      <c r="C14" s="53">
        <v>322040</v>
      </c>
      <c r="D14" s="42" t="s">
        <v>932</v>
      </c>
      <c r="E14" s="42" t="s">
        <v>764</v>
      </c>
      <c r="F14" s="42" t="s">
        <v>7</v>
      </c>
      <c r="G14" s="42" t="s">
        <v>289</v>
      </c>
      <c r="H14" s="42" t="s">
        <v>288</v>
      </c>
      <c r="I14" s="42" t="s">
        <v>139</v>
      </c>
      <c r="J14" s="42" t="s">
        <v>54</v>
      </c>
      <c r="K14" s="42" t="s">
        <v>404</v>
      </c>
      <c r="L14" s="42" t="str">
        <f>VLOOKUP(Table15[[#This Row],[Tegevusala kood]],Table4[[Tegevusala kood]:[Tegevusala alanimetus]],2,FALSE)</f>
        <v>Valla- ja linnavalitsus</v>
      </c>
      <c r="M14" s="42" t="s">
        <v>912</v>
      </c>
      <c r="N14" s="42" t="s">
        <v>913</v>
      </c>
      <c r="O14" s="53" t="str">
        <f>VLOOKUP(Table15[[#This Row],[Eelarvekonto]],Table5[[Konto]:[Kontode alanimetus]],5,FALSE)</f>
        <v>Tulud kaupade ja teenuste müügist</v>
      </c>
      <c r="P14" s="53" t="str">
        <f>VLOOKUP(Table15[[#This Row],[Tegevusala kood]],Table4[[Tegevusala kood]:[Tegevusala alanimetus]],4,FALSE)</f>
        <v>Valla- ja linnavalitsus</v>
      </c>
      <c r="Q14" s="42"/>
      <c r="R14" s="42"/>
      <c r="S14" s="42">
        <f>Table15[[#This Row],[Summa]]+Table15[[#This Row],[I Muudatus]]+Table15[[#This Row],[II Muudatus]]</f>
        <v>3800</v>
      </c>
    </row>
    <row r="15" spans="1:19" hidden="1" x14ac:dyDescent="0.25">
      <c r="A15" s="42" t="s">
        <v>291</v>
      </c>
      <c r="B15" s="42">
        <v>4500</v>
      </c>
      <c r="C15" s="53">
        <v>322040</v>
      </c>
      <c r="D15" s="42" t="s">
        <v>932</v>
      </c>
      <c r="E15" s="42" t="s">
        <v>764</v>
      </c>
      <c r="F15" s="42" t="s">
        <v>7</v>
      </c>
      <c r="G15" s="42" t="s">
        <v>292</v>
      </c>
      <c r="H15" s="42" t="s">
        <v>291</v>
      </c>
      <c r="I15" s="42" t="s">
        <v>139</v>
      </c>
      <c r="J15" s="42" t="s">
        <v>54</v>
      </c>
      <c r="K15" s="42" t="s">
        <v>404</v>
      </c>
      <c r="L15" s="42" t="str">
        <f>VLOOKUP(Table15[[#This Row],[Tegevusala kood]],Table4[[Tegevusala kood]:[Tegevusala alanimetus]],2,FALSE)</f>
        <v>Valla- ja linnavalitsus</v>
      </c>
      <c r="M15" s="42" t="s">
        <v>912</v>
      </c>
      <c r="N15" s="42" t="s">
        <v>913</v>
      </c>
      <c r="O15" s="53" t="str">
        <f>VLOOKUP(Table15[[#This Row],[Eelarvekonto]],Table5[[Konto]:[Kontode alanimetus]],5,FALSE)</f>
        <v>Tulud kaupade ja teenuste müügist</v>
      </c>
      <c r="P15" s="53" t="str">
        <f>VLOOKUP(Table15[[#This Row],[Tegevusala kood]],Table4[[Tegevusala kood]:[Tegevusala alanimetus]],4,FALSE)</f>
        <v>Valla- ja linnavalitsus</v>
      </c>
      <c r="Q15" s="42"/>
      <c r="R15" s="42"/>
      <c r="S15" s="42">
        <f>Table15[[#This Row],[Summa]]+Table15[[#This Row],[I Muudatus]]+Table15[[#This Row],[II Muudatus]]</f>
        <v>4500</v>
      </c>
    </row>
    <row r="16" spans="1:19" hidden="1" x14ac:dyDescent="0.25">
      <c r="A16" s="42" t="s">
        <v>277</v>
      </c>
      <c r="B16" s="42">
        <v>3000</v>
      </c>
      <c r="C16" s="53">
        <v>322020</v>
      </c>
      <c r="D16" s="42" t="s">
        <v>933</v>
      </c>
      <c r="E16" s="42" t="s">
        <v>764</v>
      </c>
      <c r="F16" s="42" t="s">
        <v>7</v>
      </c>
      <c r="G16" s="42" t="s">
        <v>278</v>
      </c>
      <c r="H16" s="42" t="s">
        <v>277</v>
      </c>
      <c r="I16" s="42" t="s">
        <v>139</v>
      </c>
      <c r="J16" s="42" t="s">
        <v>54</v>
      </c>
      <c r="K16" s="42" t="s">
        <v>404</v>
      </c>
      <c r="L16" s="42" t="str">
        <f>VLOOKUP(Table15[[#This Row],[Tegevusala kood]],Table4[[Tegevusala kood]:[Tegevusala alanimetus]],2,FALSE)</f>
        <v>Valla- ja linnavalitsus</v>
      </c>
      <c r="M16" s="42" t="s">
        <v>912</v>
      </c>
      <c r="N16" s="42" t="s">
        <v>913</v>
      </c>
      <c r="O16" s="53" t="str">
        <f>VLOOKUP(Table15[[#This Row],[Eelarvekonto]],Table5[[Konto]:[Kontode alanimetus]],5,FALSE)</f>
        <v>Tulud kaupade ja teenuste müügist</v>
      </c>
      <c r="P16" s="53" t="str">
        <f>VLOOKUP(Table15[[#This Row],[Tegevusala kood]],Table4[[Tegevusala kood]:[Tegevusala alanimetus]],4,FALSE)</f>
        <v>Valla- ja linnavalitsus</v>
      </c>
      <c r="Q16" s="42"/>
      <c r="R16" s="42"/>
      <c r="S16" s="42">
        <f>Table15[[#This Row],[Summa]]+Table15[[#This Row],[I Muudatus]]+Table15[[#This Row],[II Muudatus]]</f>
        <v>3000</v>
      </c>
    </row>
    <row r="17" spans="1:19" hidden="1" x14ac:dyDescent="0.25">
      <c r="A17" s="42" t="s">
        <v>934</v>
      </c>
      <c r="B17" s="42">
        <v>2400</v>
      </c>
      <c r="C17" s="53">
        <v>3232</v>
      </c>
      <c r="D17" s="42" t="s">
        <v>935</v>
      </c>
      <c r="E17" s="42" t="s">
        <v>764</v>
      </c>
      <c r="F17" s="42" t="s">
        <v>7</v>
      </c>
      <c r="G17" s="42" t="s">
        <v>333</v>
      </c>
      <c r="H17" s="42" t="s">
        <v>332</v>
      </c>
      <c r="I17" s="42" t="s">
        <v>139</v>
      </c>
      <c r="J17" s="42" t="s">
        <v>54</v>
      </c>
      <c r="K17" s="42" t="s">
        <v>404</v>
      </c>
      <c r="L17" s="42" t="str">
        <f>VLOOKUP(Table15[[#This Row],[Tegevusala kood]],Table4[[Tegevusala kood]:[Tegevusala alanimetus]],2,FALSE)</f>
        <v>Valla- ja linnavalitsus</v>
      </c>
      <c r="M17" s="42" t="s">
        <v>912</v>
      </c>
      <c r="N17" s="42" t="s">
        <v>913</v>
      </c>
      <c r="O17" s="53" t="str">
        <f>VLOOKUP(Table15[[#This Row],[Eelarvekonto]],Table5[[Konto]:[Kontode alanimetus]],5,FALSE)</f>
        <v>Tulud kaupade ja teenuste müügist</v>
      </c>
      <c r="P17" s="53" t="str">
        <f>VLOOKUP(Table15[[#This Row],[Tegevusala kood]],Table4[[Tegevusala kood]:[Tegevusala alanimetus]],4,FALSE)</f>
        <v>Valla- ja linnavalitsus</v>
      </c>
      <c r="Q17" s="42"/>
      <c r="R17" s="42"/>
      <c r="S17" s="42">
        <f>Table15[[#This Row],[Summa]]+Table15[[#This Row],[I Muudatus]]+Table15[[#This Row],[II Muudatus]]</f>
        <v>2400</v>
      </c>
    </row>
    <row r="18" spans="1:19" hidden="1" x14ac:dyDescent="0.25">
      <c r="A18" s="42" t="s">
        <v>277</v>
      </c>
      <c r="B18" s="42">
        <v>2900</v>
      </c>
      <c r="C18" s="53">
        <v>322040</v>
      </c>
      <c r="D18" s="42" t="s">
        <v>932</v>
      </c>
      <c r="E18" s="42" t="s">
        <v>764</v>
      </c>
      <c r="F18" s="42" t="s">
        <v>7</v>
      </c>
      <c r="G18" s="42" t="s">
        <v>278</v>
      </c>
      <c r="H18" s="42" t="s">
        <v>277</v>
      </c>
      <c r="I18" s="42" t="s">
        <v>139</v>
      </c>
      <c r="J18" s="42" t="s">
        <v>54</v>
      </c>
      <c r="K18" s="42" t="s">
        <v>404</v>
      </c>
      <c r="L18" s="42" t="str">
        <f>VLOOKUP(Table15[[#This Row],[Tegevusala kood]],Table4[[Tegevusala kood]:[Tegevusala alanimetus]],2,FALSE)</f>
        <v>Valla- ja linnavalitsus</v>
      </c>
      <c r="M18" s="42" t="s">
        <v>912</v>
      </c>
      <c r="N18" s="42" t="s">
        <v>913</v>
      </c>
      <c r="O18" s="53" t="str">
        <f>VLOOKUP(Table15[[#This Row],[Eelarvekonto]],Table5[[Konto]:[Kontode alanimetus]],5,FALSE)</f>
        <v>Tulud kaupade ja teenuste müügist</v>
      </c>
      <c r="P18" s="53" t="str">
        <f>VLOOKUP(Table15[[#This Row],[Tegevusala kood]],Table4[[Tegevusala kood]:[Tegevusala alanimetus]],4,FALSE)</f>
        <v>Valla- ja linnavalitsus</v>
      </c>
      <c r="Q18" s="42"/>
      <c r="R18" s="42"/>
      <c r="S18" s="42">
        <f>Table15[[#This Row],[Summa]]+Table15[[#This Row],[I Muudatus]]+Table15[[#This Row],[II Muudatus]]</f>
        <v>2900</v>
      </c>
    </row>
    <row r="19" spans="1:19" hidden="1" x14ac:dyDescent="0.25">
      <c r="A19" s="42" t="s">
        <v>294</v>
      </c>
      <c r="B19" s="42">
        <v>2800</v>
      </c>
      <c r="C19" s="53">
        <v>322040</v>
      </c>
      <c r="D19" s="42" t="s">
        <v>932</v>
      </c>
      <c r="E19" s="42" t="s">
        <v>764</v>
      </c>
      <c r="F19" s="42" t="s">
        <v>7</v>
      </c>
      <c r="G19" s="42" t="s">
        <v>295</v>
      </c>
      <c r="H19" s="42" t="s">
        <v>294</v>
      </c>
      <c r="I19" s="42" t="s">
        <v>139</v>
      </c>
      <c r="J19" s="42" t="s">
        <v>54</v>
      </c>
      <c r="K19" s="42" t="s">
        <v>404</v>
      </c>
      <c r="L19" s="42" t="str">
        <f>VLOOKUP(Table15[[#This Row],[Tegevusala kood]],Table4[[Tegevusala kood]:[Tegevusala alanimetus]],2,FALSE)</f>
        <v>Valla- ja linnavalitsus</v>
      </c>
      <c r="M19" s="42" t="s">
        <v>912</v>
      </c>
      <c r="N19" s="42" t="s">
        <v>913</v>
      </c>
      <c r="O19" s="53" t="str">
        <f>VLOOKUP(Table15[[#This Row],[Eelarvekonto]],Table5[[Konto]:[Kontode alanimetus]],5,FALSE)</f>
        <v>Tulud kaupade ja teenuste müügist</v>
      </c>
      <c r="P19" s="53" t="str">
        <f>VLOOKUP(Table15[[#This Row],[Tegevusala kood]],Table4[[Tegevusala kood]:[Tegevusala alanimetus]],4,FALSE)</f>
        <v>Valla- ja linnavalitsus</v>
      </c>
      <c r="Q19" s="42"/>
      <c r="R19" s="42"/>
      <c r="S19" s="42">
        <f>Table15[[#This Row],[Summa]]+Table15[[#This Row],[I Muudatus]]+Table15[[#This Row],[II Muudatus]]</f>
        <v>2800</v>
      </c>
    </row>
    <row r="20" spans="1:19" hidden="1" x14ac:dyDescent="0.25">
      <c r="A20" s="42" t="s">
        <v>288</v>
      </c>
      <c r="B20" s="42">
        <v>5500</v>
      </c>
      <c r="C20" s="53">
        <v>322020</v>
      </c>
      <c r="D20" s="42" t="s">
        <v>933</v>
      </c>
      <c r="E20" s="42" t="s">
        <v>764</v>
      </c>
      <c r="F20" s="42" t="s">
        <v>7</v>
      </c>
      <c r="G20" s="42" t="s">
        <v>289</v>
      </c>
      <c r="H20" s="42" t="s">
        <v>288</v>
      </c>
      <c r="I20" s="42" t="s">
        <v>139</v>
      </c>
      <c r="J20" s="42" t="s">
        <v>54</v>
      </c>
      <c r="K20" s="42" t="s">
        <v>404</v>
      </c>
      <c r="L20" s="42" t="str">
        <f>VLOOKUP(Table15[[#This Row],[Tegevusala kood]],Table4[[Tegevusala kood]:[Tegevusala alanimetus]],2,FALSE)</f>
        <v>Valla- ja linnavalitsus</v>
      </c>
      <c r="M20" s="42" t="s">
        <v>912</v>
      </c>
      <c r="N20" s="42" t="s">
        <v>913</v>
      </c>
      <c r="O20" s="53" t="str">
        <f>VLOOKUP(Table15[[#This Row],[Eelarvekonto]],Table5[[Konto]:[Kontode alanimetus]],5,FALSE)</f>
        <v>Tulud kaupade ja teenuste müügist</v>
      </c>
      <c r="P20" s="53" t="str">
        <f>VLOOKUP(Table15[[#This Row],[Tegevusala kood]],Table4[[Tegevusala kood]:[Tegevusala alanimetus]],4,FALSE)</f>
        <v>Valla- ja linnavalitsus</v>
      </c>
      <c r="Q20" s="42"/>
      <c r="R20" s="42"/>
      <c r="S20" s="42">
        <f>Table15[[#This Row],[Summa]]+Table15[[#This Row],[I Muudatus]]+Table15[[#This Row],[II Muudatus]]</f>
        <v>5500</v>
      </c>
    </row>
    <row r="21" spans="1:19" hidden="1" x14ac:dyDescent="0.25">
      <c r="A21" s="42" t="s">
        <v>281</v>
      </c>
      <c r="B21" s="42">
        <v>4000</v>
      </c>
      <c r="C21" s="53">
        <v>322020</v>
      </c>
      <c r="D21" s="42" t="s">
        <v>933</v>
      </c>
      <c r="E21" s="42" t="s">
        <v>764</v>
      </c>
      <c r="F21" s="42" t="s">
        <v>7</v>
      </c>
      <c r="G21" s="42" t="s">
        <v>282</v>
      </c>
      <c r="H21" s="42" t="s">
        <v>281</v>
      </c>
      <c r="I21" s="42" t="s">
        <v>139</v>
      </c>
      <c r="J21" s="42" t="s">
        <v>54</v>
      </c>
      <c r="K21" s="42" t="s">
        <v>404</v>
      </c>
      <c r="L21" s="42" t="str">
        <f>VLOOKUP(Table15[[#This Row],[Tegevusala kood]],Table4[[Tegevusala kood]:[Tegevusala alanimetus]],2,FALSE)</f>
        <v>Valla- ja linnavalitsus</v>
      </c>
      <c r="M21" s="42" t="s">
        <v>912</v>
      </c>
      <c r="N21" s="42" t="s">
        <v>913</v>
      </c>
      <c r="O21" s="53" t="str">
        <f>VLOOKUP(Table15[[#This Row],[Eelarvekonto]],Table5[[Konto]:[Kontode alanimetus]],5,FALSE)</f>
        <v>Tulud kaupade ja teenuste müügist</v>
      </c>
      <c r="P21" s="53" t="str">
        <f>VLOOKUP(Table15[[#This Row],[Tegevusala kood]],Table4[[Tegevusala kood]:[Tegevusala alanimetus]],4,FALSE)</f>
        <v>Valla- ja linnavalitsus</v>
      </c>
      <c r="Q21" s="42"/>
      <c r="R21" s="42"/>
      <c r="S21" s="42">
        <f>Table15[[#This Row],[Summa]]+Table15[[#This Row],[I Muudatus]]+Table15[[#This Row],[II Muudatus]]</f>
        <v>4000</v>
      </c>
    </row>
    <row r="22" spans="1:19" hidden="1" x14ac:dyDescent="0.25">
      <c r="A22" s="42" t="s">
        <v>291</v>
      </c>
      <c r="B22" s="42">
        <v>6000</v>
      </c>
      <c r="C22" s="53">
        <v>322020</v>
      </c>
      <c r="D22" s="42" t="s">
        <v>933</v>
      </c>
      <c r="E22" s="42" t="s">
        <v>764</v>
      </c>
      <c r="F22" s="42" t="s">
        <v>7</v>
      </c>
      <c r="G22" s="42" t="s">
        <v>292</v>
      </c>
      <c r="H22" s="42" t="s">
        <v>291</v>
      </c>
      <c r="I22" s="42" t="s">
        <v>139</v>
      </c>
      <c r="J22" s="42" t="s">
        <v>54</v>
      </c>
      <c r="K22" s="42" t="s">
        <v>404</v>
      </c>
      <c r="L22" s="42" t="str">
        <f>VLOOKUP(Table15[[#This Row],[Tegevusala kood]],Table4[[Tegevusala kood]:[Tegevusala alanimetus]],2,FALSE)</f>
        <v>Valla- ja linnavalitsus</v>
      </c>
      <c r="M22" s="42" t="s">
        <v>912</v>
      </c>
      <c r="N22" s="42" t="s">
        <v>913</v>
      </c>
      <c r="O22" s="53" t="str">
        <f>VLOOKUP(Table15[[#This Row],[Eelarvekonto]],Table5[[Konto]:[Kontode alanimetus]],5,FALSE)</f>
        <v>Tulud kaupade ja teenuste müügist</v>
      </c>
      <c r="P22" s="53" t="str">
        <f>VLOOKUP(Table15[[#This Row],[Tegevusala kood]],Table4[[Tegevusala kood]:[Tegevusala alanimetus]],4,FALSE)</f>
        <v>Valla- ja linnavalitsus</v>
      </c>
      <c r="Q22" s="42"/>
      <c r="R22" s="42"/>
      <c r="S22" s="42">
        <f>Table15[[#This Row],[Summa]]+Table15[[#This Row],[I Muudatus]]+Table15[[#This Row],[II Muudatus]]</f>
        <v>6000</v>
      </c>
    </row>
    <row r="23" spans="1:19" hidden="1" x14ac:dyDescent="0.25">
      <c r="A23" s="42" t="s">
        <v>304</v>
      </c>
      <c r="B23" s="42">
        <v>13500</v>
      </c>
      <c r="C23" s="53">
        <v>322020</v>
      </c>
      <c r="D23" s="42" t="s">
        <v>933</v>
      </c>
      <c r="E23" s="42" t="s">
        <v>764</v>
      </c>
      <c r="F23" s="42" t="s">
        <v>7</v>
      </c>
      <c r="G23" s="42" t="s">
        <v>305</v>
      </c>
      <c r="H23" s="42" t="s">
        <v>304</v>
      </c>
      <c r="I23" s="42" t="s">
        <v>139</v>
      </c>
      <c r="J23" s="42" t="s">
        <v>54</v>
      </c>
      <c r="K23" s="42" t="s">
        <v>404</v>
      </c>
      <c r="L23" s="42" t="str">
        <f>VLOOKUP(Table15[[#This Row],[Tegevusala kood]],Table4[[Tegevusala kood]:[Tegevusala alanimetus]],2,FALSE)</f>
        <v>Valla- ja linnavalitsus</v>
      </c>
      <c r="M23" s="42" t="s">
        <v>912</v>
      </c>
      <c r="N23" s="42" t="s">
        <v>913</v>
      </c>
      <c r="O23" s="53" t="str">
        <f>VLOOKUP(Table15[[#This Row],[Eelarvekonto]],Table5[[Konto]:[Kontode alanimetus]],5,FALSE)</f>
        <v>Tulud kaupade ja teenuste müügist</v>
      </c>
      <c r="P23" s="53" t="str">
        <f>VLOOKUP(Table15[[#This Row],[Tegevusala kood]],Table4[[Tegevusala kood]:[Tegevusala alanimetus]],4,FALSE)</f>
        <v>Valla- ja linnavalitsus</v>
      </c>
      <c r="Q23" s="42"/>
      <c r="R23" s="42"/>
      <c r="S23" s="42">
        <f>Table15[[#This Row],[Summa]]+Table15[[#This Row],[I Muudatus]]+Table15[[#This Row],[II Muudatus]]</f>
        <v>13500</v>
      </c>
    </row>
    <row r="24" spans="1:19" hidden="1" x14ac:dyDescent="0.25">
      <c r="A24" s="42" t="s">
        <v>294</v>
      </c>
      <c r="B24" s="42">
        <v>4000</v>
      </c>
      <c r="C24" s="53">
        <v>322020</v>
      </c>
      <c r="D24" s="42" t="s">
        <v>933</v>
      </c>
      <c r="E24" s="42" t="s">
        <v>764</v>
      </c>
      <c r="F24" s="42" t="s">
        <v>7</v>
      </c>
      <c r="G24" s="42" t="s">
        <v>295</v>
      </c>
      <c r="H24" s="42" t="s">
        <v>294</v>
      </c>
      <c r="I24" s="42" t="s">
        <v>139</v>
      </c>
      <c r="J24" s="42" t="s">
        <v>54</v>
      </c>
      <c r="K24" s="42" t="s">
        <v>404</v>
      </c>
      <c r="L24" s="42" t="str">
        <f>VLOOKUP(Table15[[#This Row],[Tegevusala kood]],Table4[[Tegevusala kood]:[Tegevusala alanimetus]],2,FALSE)</f>
        <v>Valla- ja linnavalitsus</v>
      </c>
      <c r="M24" s="42" t="s">
        <v>912</v>
      </c>
      <c r="N24" s="42" t="s">
        <v>913</v>
      </c>
      <c r="O24" s="53" t="str">
        <f>VLOOKUP(Table15[[#This Row],[Eelarvekonto]],Table5[[Konto]:[Kontode alanimetus]],5,FALSE)</f>
        <v>Tulud kaupade ja teenuste müügist</v>
      </c>
      <c r="P24" s="53" t="str">
        <f>VLOOKUP(Table15[[#This Row],[Tegevusala kood]],Table4[[Tegevusala kood]:[Tegevusala alanimetus]],4,FALSE)</f>
        <v>Valla- ja linnavalitsus</v>
      </c>
      <c r="Q24" s="42"/>
      <c r="R24" s="42"/>
      <c r="S24" s="42">
        <f>Table15[[#This Row],[Summa]]+Table15[[#This Row],[I Muudatus]]+Table15[[#This Row],[II Muudatus]]</f>
        <v>4000</v>
      </c>
    </row>
    <row r="25" spans="1:19" hidden="1" x14ac:dyDescent="0.25">
      <c r="A25" s="41" t="s">
        <v>10</v>
      </c>
      <c r="B25" s="41">
        <v>490000</v>
      </c>
      <c r="C25" s="52">
        <v>3030</v>
      </c>
      <c r="D25" s="41" t="s">
        <v>10</v>
      </c>
      <c r="E25" s="41" t="s">
        <v>764</v>
      </c>
      <c r="F25" s="41" t="s">
        <v>7</v>
      </c>
      <c r="G25" s="41" t="s">
        <v>1</v>
      </c>
      <c r="H25" s="41" t="s">
        <v>1</v>
      </c>
      <c r="I25" s="41" t="s">
        <v>139</v>
      </c>
      <c r="J25" s="41" t="s">
        <v>54</v>
      </c>
      <c r="K25" s="41" t="s">
        <v>404</v>
      </c>
      <c r="L25" s="41" t="str">
        <f>VLOOKUP(Table15[[#This Row],[Tegevusala kood]],Table4[[Tegevusala kood]:[Tegevusala alanimetus]],2,FALSE)</f>
        <v>Valla- ja linnavalitsus</v>
      </c>
      <c r="M25" s="41" t="s">
        <v>912</v>
      </c>
      <c r="N25" s="41" t="s">
        <v>913</v>
      </c>
      <c r="O25" s="53" t="str">
        <f>VLOOKUP(Table15[[#This Row],[Eelarvekonto]],Table5[[Konto]:[Kontode alanimetus]],5,FALSE)</f>
        <v>Maamaks</v>
      </c>
      <c r="P25" s="53" t="str">
        <f>VLOOKUP(Table15[[#This Row],[Tegevusala kood]],Table4[[Tegevusala kood]:[Tegevusala alanimetus]],4,FALSE)</f>
        <v>Valla- ja linnavalitsus</v>
      </c>
      <c r="S25" s="41">
        <f>Table15[[#This Row],[Summa]]+Table15[[#This Row],[I Muudatus]]+Table15[[#This Row],[II Muudatus]]</f>
        <v>490000</v>
      </c>
    </row>
    <row r="26" spans="1:19" hidden="1" x14ac:dyDescent="0.25">
      <c r="A26" s="42" t="s">
        <v>936</v>
      </c>
      <c r="B26" s="42">
        <v>6700</v>
      </c>
      <c r="C26" s="53">
        <v>320</v>
      </c>
      <c r="D26" s="42" t="s">
        <v>936</v>
      </c>
      <c r="E26" s="42" t="s">
        <v>764</v>
      </c>
      <c r="F26" s="42" t="s">
        <v>7</v>
      </c>
      <c r="G26" s="42" t="s">
        <v>1</v>
      </c>
      <c r="H26" s="42" t="s">
        <v>1</v>
      </c>
      <c r="I26" s="42" t="s">
        <v>139</v>
      </c>
      <c r="J26" s="42" t="s">
        <v>54</v>
      </c>
      <c r="K26" s="42" t="s">
        <v>404</v>
      </c>
      <c r="L26" s="42" t="str">
        <f>VLOOKUP(Table15[[#This Row],[Tegevusala kood]],Table4[[Tegevusala kood]:[Tegevusala alanimetus]],2,FALSE)</f>
        <v>Valla- ja linnavalitsus</v>
      </c>
      <c r="M26" s="42" t="s">
        <v>912</v>
      </c>
      <c r="N26" s="42" t="s">
        <v>913</v>
      </c>
      <c r="O26" s="53" t="str">
        <f>VLOOKUP(Table15[[#This Row],[Eelarvekonto]],Table5[[Konto]:[Kontode alanimetus]],5,FALSE)</f>
        <v>Tulud kaupade ja teenuste müügist</v>
      </c>
      <c r="P26" s="53" t="str">
        <f>VLOOKUP(Table15[[#This Row],[Tegevusala kood]],Table4[[Tegevusala kood]:[Tegevusala alanimetus]],4,FALSE)</f>
        <v>Valla- ja linnavalitsus</v>
      </c>
      <c r="Q26" s="42"/>
      <c r="R26" s="42"/>
      <c r="S26" s="42">
        <f>Table15[[#This Row],[Summa]]+Table15[[#This Row],[I Muudatus]]+Table15[[#This Row],[II Muudatus]]</f>
        <v>6700</v>
      </c>
    </row>
    <row r="27" spans="1:19" hidden="1" x14ac:dyDescent="0.25">
      <c r="A27" s="42" t="s">
        <v>281</v>
      </c>
      <c r="B27" s="42">
        <v>3600</v>
      </c>
      <c r="C27" s="53">
        <v>322040</v>
      </c>
      <c r="D27" s="42" t="s">
        <v>932</v>
      </c>
      <c r="E27" s="42" t="s">
        <v>764</v>
      </c>
      <c r="F27" s="42" t="s">
        <v>7</v>
      </c>
      <c r="G27" s="42" t="s">
        <v>282</v>
      </c>
      <c r="H27" s="42" t="s">
        <v>281</v>
      </c>
      <c r="I27" s="42" t="s">
        <v>139</v>
      </c>
      <c r="J27" s="42" t="s">
        <v>54</v>
      </c>
      <c r="K27" s="42" t="s">
        <v>404</v>
      </c>
      <c r="L27" s="42" t="str">
        <f>VLOOKUP(Table15[[#This Row],[Tegevusala kood]],Table4[[Tegevusala kood]:[Tegevusala alanimetus]],2,FALSE)</f>
        <v>Valla- ja linnavalitsus</v>
      </c>
      <c r="M27" s="42" t="s">
        <v>912</v>
      </c>
      <c r="N27" s="42" t="s">
        <v>913</v>
      </c>
      <c r="O27" s="53" t="str">
        <f>VLOOKUP(Table15[[#This Row],[Eelarvekonto]],Table5[[Konto]:[Kontode alanimetus]],5,FALSE)</f>
        <v>Tulud kaupade ja teenuste müügist</v>
      </c>
      <c r="P27" s="53" t="str">
        <f>VLOOKUP(Table15[[#This Row],[Tegevusala kood]],Table4[[Tegevusala kood]:[Tegevusala alanimetus]],4,FALSE)</f>
        <v>Valla- ja linnavalitsus</v>
      </c>
      <c r="Q27" s="42"/>
      <c r="R27" s="42"/>
      <c r="S27" s="42">
        <f>Table15[[#This Row],[Summa]]+Table15[[#This Row],[I Muudatus]]+Table15[[#This Row],[II Muudatus]]</f>
        <v>3600</v>
      </c>
    </row>
    <row r="28" spans="1:19" hidden="1" x14ac:dyDescent="0.25">
      <c r="A28" s="42" t="s">
        <v>259</v>
      </c>
      <c r="B28" s="42">
        <v>1500</v>
      </c>
      <c r="C28" s="53">
        <v>322040</v>
      </c>
      <c r="D28" s="42" t="s">
        <v>932</v>
      </c>
      <c r="E28" s="42" t="s">
        <v>764</v>
      </c>
      <c r="F28" s="42" t="s">
        <v>7</v>
      </c>
      <c r="G28" s="42" t="s">
        <v>260</v>
      </c>
      <c r="H28" s="42" t="s">
        <v>259</v>
      </c>
      <c r="I28" s="42" t="s">
        <v>139</v>
      </c>
      <c r="J28" s="42" t="s">
        <v>54</v>
      </c>
      <c r="K28" s="42" t="s">
        <v>404</v>
      </c>
      <c r="L28" s="42" t="str">
        <f>VLOOKUP(Table15[[#This Row],[Tegevusala kood]],Table4[[Tegevusala kood]:[Tegevusala alanimetus]],2,FALSE)</f>
        <v>Valla- ja linnavalitsus</v>
      </c>
      <c r="M28" s="42" t="s">
        <v>912</v>
      </c>
      <c r="N28" s="42" t="s">
        <v>913</v>
      </c>
      <c r="O28" s="53" t="str">
        <f>VLOOKUP(Table15[[#This Row],[Eelarvekonto]],Table5[[Konto]:[Kontode alanimetus]],5,FALSE)</f>
        <v>Tulud kaupade ja teenuste müügist</v>
      </c>
      <c r="P28" s="53" t="str">
        <f>VLOOKUP(Table15[[#This Row],[Tegevusala kood]],Table4[[Tegevusala kood]:[Tegevusala alanimetus]],4,FALSE)</f>
        <v>Valla- ja linnavalitsus</v>
      </c>
      <c r="Q28" s="42"/>
      <c r="R28" s="42"/>
      <c r="S28" s="42">
        <f>Table15[[#This Row],[Summa]]+Table15[[#This Row],[I Muudatus]]+Table15[[#This Row],[II Muudatus]]</f>
        <v>1500</v>
      </c>
    </row>
    <row r="29" spans="1:19" hidden="1" x14ac:dyDescent="0.25">
      <c r="A29" s="42" t="s">
        <v>304</v>
      </c>
      <c r="B29" s="42">
        <v>15900</v>
      </c>
      <c r="C29" s="53">
        <v>322040</v>
      </c>
      <c r="D29" s="42" t="s">
        <v>932</v>
      </c>
      <c r="E29" s="42" t="s">
        <v>764</v>
      </c>
      <c r="F29" s="42" t="s">
        <v>7</v>
      </c>
      <c r="G29" s="42" t="s">
        <v>305</v>
      </c>
      <c r="H29" s="42" t="s">
        <v>304</v>
      </c>
      <c r="I29" s="42" t="s">
        <v>139</v>
      </c>
      <c r="J29" s="42" t="s">
        <v>54</v>
      </c>
      <c r="K29" s="42" t="s">
        <v>404</v>
      </c>
      <c r="L29" s="42" t="str">
        <f>VLOOKUP(Table15[[#This Row],[Tegevusala kood]],Table4[[Tegevusala kood]:[Tegevusala alanimetus]],2,FALSE)</f>
        <v>Valla- ja linnavalitsus</v>
      </c>
      <c r="M29" s="42" t="s">
        <v>912</v>
      </c>
      <c r="N29" s="42" t="s">
        <v>913</v>
      </c>
      <c r="O29" s="53" t="str">
        <f>VLOOKUP(Table15[[#This Row],[Eelarvekonto]],Table5[[Konto]:[Kontode alanimetus]],5,FALSE)</f>
        <v>Tulud kaupade ja teenuste müügist</v>
      </c>
      <c r="P29" s="53" t="str">
        <f>VLOOKUP(Table15[[#This Row],[Tegevusala kood]],Table4[[Tegevusala kood]:[Tegevusala alanimetus]],4,FALSE)</f>
        <v>Valla- ja linnavalitsus</v>
      </c>
      <c r="Q29" s="42"/>
      <c r="R29" s="42"/>
      <c r="S29" s="42">
        <f>Table15[[#This Row],[Summa]]+Table15[[#This Row],[I Muudatus]]+Table15[[#This Row],[II Muudatus]]</f>
        <v>15900</v>
      </c>
    </row>
    <row r="30" spans="1:19" hidden="1" x14ac:dyDescent="0.25">
      <c r="A30" s="42" t="s">
        <v>259</v>
      </c>
      <c r="B30" s="42">
        <v>2200</v>
      </c>
      <c r="C30" s="53">
        <v>322020</v>
      </c>
      <c r="D30" s="42" t="s">
        <v>933</v>
      </c>
      <c r="E30" s="42" t="s">
        <v>764</v>
      </c>
      <c r="F30" s="42" t="s">
        <v>7</v>
      </c>
      <c r="G30" s="42" t="s">
        <v>260</v>
      </c>
      <c r="H30" s="42" t="s">
        <v>259</v>
      </c>
      <c r="I30" s="42" t="s">
        <v>139</v>
      </c>
      <c r="J30" s="42" t="s">
        <v>54</v>
      </c>
      <c r="K30" s="42" t="s">
        <v>404</v>
      </c>
      <c r="L30" s="42" t="str">
        <f>VLOOKUP(Table15[[#This Row],[Tegevusala kood]],Table4[[Tegevusala kood]:[Tegevusala alanimetus]],2,FALSE)</f>
        <v>Valla- ja linnavalitsus</v>
      </c>
      <c r="M30" s="42" t="s">
        <v>912</v>
      </c>
      <c r="N30" s="42" t="s">
        <v>913</v>
      </c>
      <c r="O30" s="53" t="str">
        <f>VLOOKUP(Table15[[#This Row],[Eelarvekonto]],Table5[[Konto]:[Kontode alanimetus]],5,FALSE)</f>
        <v>Tulud kaupade ja teenuste müügist</v>
      </c>
      <c r="P30" s="53" t="str">
        <f>VLOOKUP(Table15[[#This Row],[Tegevusala kood]],Table4[[Tegevusala kood]:[Tegevusala alanimetus]],4,FALSE)</f>
        <v>Valla- ja linnavalitsus</v>
      </c>
      <c r="Q30" s="42"/>
      <c r="R30" s="42"/>
      <c r="S30" s="42">
        <f>Table15[[#This Row],[Summa]]+Table15[[#This Row],[I Muudatus]]+Table15[[#This Row],[II Muudatus]]</f>
        <v>2200</v>
      </c>
    </row>
    <row r="31" spans="1:19" hidden="1" x14ac:dyDescent="0.25">
      <c r="A31" s="42" t="s">
        <v>937</v>
      </c>
      <c r="B31" s="42">
        <v>1376806</v>
      </c>
      <c r="C31" s="53">
        <v>352001</v>
      </c>
      <c r="D31" s="42" t="s">
        <v>937</v>
      </c>
      <c r="E31" s="42" t="s">
        <v>764</v>
      </c>
      <c r="F31" s="42" t="s">
        <v>7</v>
      </c>
      <c r="G31" s="42" t="s">
        <v>1</v>
      </c>
      <c r="H31" s="42" t="s">
        <v>1</v>
      </c>
      <c r="I31" s="42" t="s">
        <v>139</v>
      </c>
      <c r="J31" s="42" t="s">
        <v>54</v>
      </c>
      <c r="K31" s="42" t="s">
        <v>743</v>
      </c>
      <c r="L31" s="42" t="str">
        <f>VLOOKUP(Table15[[#This Row],[Tegevusala kood]],Table4[[Tegevusala kood]:[Tegevusala alanimetus]],2,FALSE)</f>
        <v>Üldiseloomuga ülekanded valitsussektoris</v>
      </c>
      <c r="M31" s="42" t="s">
        <v>1</v>
      </c>
      <c r="N31" s="42" t="s">
        <v>1</v>
      </c>
      <c r="O31" s="53" t="str">
        <f>VLOOKUP(Table15[[#This Row],[Eelarvekonto]],Table5[[Konto]:[Kontode alanimetus]],5,FALSE)</f>
        <v>Tasandusfond</v>
      </c>
      <c r="P31" s="53" t="str">
        <f>VLOOKUP(Table15[[#This Row],[Tegevusala kood]],Table4[[Tegevusala kood]:[Tegevusala alanimetus]],4,FALSE)</f>
        <v>Üldiseloomuga ülekanded valitsussektoris</v>
      </c>
      <c r="Q31" s="42"/>
      <c r="R31" s="42"/>
      <c r="S31" s="42">
        <f>Table15[[#This Row],[Summa]]+Table15[[#This Row],[I Muudatus]]+Table15[[#This Row],[II Muudatus]]</f>
        <v>1376806</v>
      </c>
    </row>
    <row r="32" spans="1:19" hidden="1" x14ac:dyDescent="0.25">
      <c r="A32" s="42" t="s">
        <v>984</v>
      </c>
      <c r="B32" s="42">
        <v>485320</v>
      </c>
      <c r="C32" s="53">
        <v>352000</v>
      </c>
      <c r="D32" s="42" t="s">
        <v>938</v>
      </c>
      <c r="E32" s="42" t="s">
        <v>764</v>
      </c>
      <c r="F32" s="42" t="s">
        <v>7</v>
      </c>
      <c r="G32" s="42" t="s">
        <v>1</v>
      </c>
      <c r="H32" s="42" t="s">
        <v>1</v>
      </c>
      <c r="I32" s="42" t="s">
        <v>423</v>
      </c>
      <c r="J32" s="42" t="s">
        <v>422</v>
      </c>
      <c r="K32" s="42" t="s">
        <v>939</v>
      </c>
      <c r="L32" s="42" t="str">
        <f>VLOOKUP(Table15[[#This Row],[Tegevusala kood]],Table4[[Tegevusala kood]:[Tegevusala alanimetus]],2,FALSE)</f>
        <v>Maanteetransport</v>
      </c>
      <c r="M32" s="42" t="s">
        <v>1</v>
      </c>
      <c r="N32" s="42" t="s">
        <v>1</v>
      </c>
      <c r="O32" s="53" t="str">
        <f>VLOOKUP(Table15[[#This Row],[Eelarvekonto]],Table5[[Konto]:[Kontode alanimetus]],5,FALSE)</f>
        <v>Toetusfond</v>
      </c>
      <c r="P32" s="53" t="str">
        <f>VLOOKUP(Table15[[#This Row],[Tegevusala kood]],Table4[[Tegevusala kood]:[Tegevusala alanimetus]],4,FALSE)</f>
        <v>Maanteetransport</v>
      </c>
      <c r="Q32" s="42"/>
      <c r="R32" s="42"/>
      <c r="S32" s="42">
        <f>Table15[[#This Row],[Summa]]+Table15[[#This Row],[I Muudatus]]+Table15[[#This Row],[II Muudatus]]</f>
        <v>485320</v>
      </c>
    </row>
    <row r="33" spans="1:19" hidden="1" x14ac:dyDescent="0.25">
      <c r="A33" s="42" t="s">
        <v>940</v>
      </c>
      <c r="B33" s="42">
        <v>21554</v>
      </c>
      <c r="C33" s="53">
        <v>352000</v>
      </c>
      <c r="D33" s="42" t="s">
        <v>938</v>
      </c>
      <c r="E33" s="42" t="s">
        <v>764</v>
      </c>
      <c r="F33" s="42" t="s">
        <v>7</v>
      </c>
      <c r="G33" s="42" t="s">
        <v>1</v>
      </c>
      <c r="H33" s="42" t="s">
        <v>1</v>
      </c>
      <c r="I33" s="42" t="s">
        <v>365</v>
      </c>
      <c r="J33" s="42" t="s">
        <v>364</v>
      </c>
      <c r="K33" s="42" t="s">
        <v>941</v>
      </c>
      <c r="L33" s="42" t="str">
        <f>VLOOKUP(Table15[[#This Row],[Tegevusala kood]],Table4[[Tegevusala kood]:[Tegevusala alanimetus]],2,FALSE)</f>
        <v>Muu puuetega inimeste sotsiaalne kaitse</v>
      </c>
      <c r="M33" s="42" t="s">
        <v>1</v>
      </c>
      <c r="N33" s="42" t="s">
        <v>1</v>
      </c>
      <c r="O33" s="53" t="str">
        <f>VLOOKUP(Table15[[#This Row],[Eelarvekonto]],Table5[[Konto]:[Kontode alanimetus]],5,FALSE)</f>
        <v>Toetusfond</v>
      </c>
      <c r="P33" s="53" t="str">
        <f>VLOOKUP(Table15[[#This Row],[Tegevusala kood]],Table4[[Tegevusala kood]:[Tegevusala alanimetus]],4,FALSE)</f>
        <v>Muu puuetega inimeste sotsiaalne kaitse</v>
      </c>
      <c r="Q33" s="42"/>
      <c r="R33" s="42"/>
      <c r="S33" s="42">
        <f>Table15[[#This Row],[Summa]]+Table15[[#This Row],[I Muudatus]]+Table15[[#This Row],[II Muudatus]]</f>
        <v>21554</v>
      </c>
    </row>
    <row r="34" spans="1:19" hidden="1" x14ac:dyDescent="0.25">
      <c r="A34" s="42" t="s">
        <v>983</v>
      </c>
      <c r="B34" s="42">
        <v>137167</v>
      </c>
      <c r="C34" s="53">
        <v>352000</v>
      </c>
      <c r="D34" s="42" t="s">
        <v>938</v>
      </c>
      <c r="E34" s="42" t="s">
        <v>764</v>
      </c>
      <c r="F34" s="42" t="s">
        <v>7</v>
      </c>
      <c r="G34" s="42" t="s">
        <v>1</v>
      </c>
      <c r="H34" s="42" t="s">
        <v>1</v>
      </c>
      <c r="I34" s="42" t="s">
        <v>365</v>
      </c>
      <c r="J34" s="42" t="s">
        <v>364</v>
      </c>
      <c r="K34" s="42" t="s">
        <v>942</v>
      </c>
      <c r="L34" s="42" t="str">
        <f>VLOOKUP(Table15[[#This Row],[Tegevusala kood]],Table4[[Tegevusala kood]:[Tegevusala alanimetus]],2,FALSE)</f>
        <v>Asendus- ja järelhooldus</v>
      </c>
      <c r="M34" s="42" t="s">
        <v>1</v>
      </c>
      <c r="N34" s="42" t="s">
        <v>1</v>
      </c>
      <c r="O34" s="53" t="str">
        <f>VLOOKUP(Table15[[#This Row],[Eelarvekonto]],Table5[[Konto]:[Kontode alanimetus]],5,FALSE)</f>
        <v>Toetusfond</v>
      </c>
      <c r="P34" s="53" t="str">
        <f>VLOOKUP(Table15[[#This Row],[Tegevusala kood]],Table4[[Tegevusala kood]:[Tegevusala alanimetus]],4,FALSE)</f>
        <v>Laste ja noorte sotsiaalhoolekande asutused</v>
      </c>
      <c r="Q34" s="42"/>
      <c r="R34" s="42"/>
      <c r="S34" s="42">
        <f>Table15[[#This Row],[Summa]]+Table15[[#This Row],[I Muudatus]]+Table15[[#This Row],[II Muudatus]]</f>
        <v>137167</v>
      </c>
    </row>
    <row r="35" spans="1:19" hidden="1" x14ac:dyDescent="0.25">
      <c r="A35" s="42" t="s">
        <v>382</v>
      </c>
      <c r="B35" s="42">
        <v>24479</v>
      </c>
      <c r="C35" s="53">
        <v>352000</v>
      </c>
      <c r="D35" s="42" t="s">
        <v>938</v>
      </c>
      <c r="E35" s="42" t="s">
        <v>764</v>
      </c>
      <c r="F35" s="42" t="s">
        <v>7</v>
      </c>
      <c r="G35" s="42" t="s">
        <v>1</v>
      </c>
      <c r="H35" s="42" t="s">
        <v>1</v>
      </c>
      <c r="I35" s="42" t="s">
        <v>365</v>
      </c>
      <c r="J35" s="42" t="s">
        <v>364</v>
      </c>
      <c r="K35" s="42" t="s">
        <v>383</v>
      </c>
      <c r="L35" s="42" t="str">
        <f>VLOOKUP(Table15[[#This Row],[Tegevusala kood]],Table4[[Tegevusala kood]:[Tegevusala alanimetus]],2,FALSE)</f>
        <v>Matusetoetus</v>
      </c>
      <c r="M35" s="42" t="s">
        <v>1</v>
      </c>
      <c r="N35" s="42" t="s">
        <v>1</v>
      </c>
      <c r="O35" s="53" t="str">
        <f>VLOOKUP(Table15[[#This Row],[Eelarvekonto]],Table5[[Konto]:[Kontode alanimetus]],5,FALSE)</f>
        <v>Toetusfond</v>
      </c>
      <c r="P35" s="53" t="str">
        <f>VLOOKUP(Table15[[#This Row],[Tegevusala kood]],Table4[[Tegevusala kood]:[Tegevusala alanimetus]],4,FALSE)</f>
        <v>Muu perekondade ja laste sotsiaalne kaitse</v>
      </c>
      <c r="Q35" s="42"/>
      <c r="R35" s="42"/>
      <c r="S35" s="42">
        <f>Table15[[#This Row],[Summa]]+Table15[[#This Row],[I Muudatus]]+Table15[[#This Row],[II Muudatus]]</f>
        <v>24479</v>
      </c>
    </row>
    <row r="36" spans="1:19" hidden="1" x14ac:dyDescent="0.25">
      <c r="A36" s="42" t="s">
        <v>982</v>
      </c>
      <c r="B36" s="42">
        <v>83207</v>
      </c>
      <c r="C36" s="53">
        <v>352000</v>
      </c>
      <c r="D36" s="42" t="s">
        <v>938</v>
      </c>
      <c r="E36" s="42" t="s">
        <v>764</v>
      </c>
      <c r="F36" s="42" t="s">
        <v>7</v>
      </c>
      <c r="G36" s="42" t="s">
        <v>1</v>
      </c>
      <c r="H36" s="42" t="s">
        <v>1</v>
      </c>
      <c r="I36" s="42" t="s">
        <v>365</v>
      </c>
      <c r="J36" s="42" t="s">
        <v>364</v>
      </c>
      <c r="K36" s="42" t="s">
        <v>623</v>
      </c>
      <c r="L36" s="42" t="str">
        <f>VLOOKUP(Table15[[#This Row],[Tegevusala kood]],Table4[[Tegevusala kood]:[Tegevusala alanimetus]],2,FALSE)</f>
        <v>Riiklik toimetulekutoetus</v>
      </c>
      <c r="M36" s="42" t="s">
        <v>1</v>
      </c>
      <c r="N36" s="42" t="s">
        <v>1</v>
      </c>
      <c r="O36" s="53" t="str">
        <f>VLOOKUP(Table15[[#This Row],[Eelarvekonto]],Table5[[Konto]:[Kontode alanimetus]],5,FALSE)</f>
        <v>Toetusfond</v>
      </c>
      <c r="P36" s="53" t="str">
        <f>VLOOKUP(Table15[[#This Row],[Tegevusala kood]],Table4[[Tegevusala kood]:[Tegevusala alanimetus]],4,FALSE)</f>
        <v>Riiklik toimetulekutoetus</v>
      </c>
      <c r="Q36" s="42"/>
      <c r="R36" s="42"/>
      <c r="S36" s="42">
        <f>Table15[[#This Row],[Summa]]+Table15[[#This Row],[I Muudatus]]+Table15[[#This Row],[II Muudatus]]</f>
        <v>83207</v>
      </c>
    </row>
    <row r="37" spans="1:19" hidden="1" x14ac:dyDescent="0.25">
      <c r="A37" s="42" t="s">
        <v>980</v>
      </c>
      <c r="B37" s="42">
        <v>86941</v>
      </c>
      <c r="C37" s="53">
        <v>352000</v>
      </c>
      <c r="D37" s="42" t="s">
        <v>938</v>
      </c>
      <c r="E37" s="42" t="s">
        <v>764</v>
      </c>
      <c r="F37" s="42" t="s">
        <v>7</v>
      </c>
      <c r="G37" s="42" t="s">
        <v>1</v>
      </c>
      <c r="H37" s="42" t="s">
        <v>1</v>
      </c>
      <c r="I37" s="42" t="s">
        <v>342</v>
      </c>
      <c r="J37" s="42" t="s">
        <v>341</v>
      </c>
      <c r="K37" s="42" t="s">
        <v>943</v>
      </c>
      <c r="L37" s="42" t="str">
        <f>VLOOKUP(Table15[[#This Row],[Tegevusala kood]],Table4[[Tegevusala kood]:[Tegevusala alanimetus]],2,FALSE)</f>
        <v>Alusharidus</v>
      </c>
      <c r="M37" s="42" t="s">
        <v>1</v>
      </c>
      <c r="N37" s="42" t="s">
        <v>1</v>
      </c>
      <c r="O37" s="53" t="str">
        <f>VLOOKUP(Table15[[#This Row],[Eelarvekonto]],Table5[[Konto]:[Kontode alanimetus]],5,FALSE)</f>
        <v>Toetusfond</v>
      </c>
      <c r="P37" s="53" t="str">
        <f>VLOOKUP(Table15[[#This Row],[Tegevusala kood]],Table4[[Tegevusala kood]:[Tegevusala alanimetus]],4,FALSE)</f>
        <v>Alusharidus</v>
      </c>
      <c r="Q37" s="42"/>
      <c r="R37" s="42"/>
      <c r="S37" s="42">
        <f>Table15[[#This Row],[Summa]]+Table15[[#This Row],[I Muudatus]]+Table15[[#This Row],[II Muudatus]]</f>
        <v>86941</v>
      </c>
    </row>
    <row r="38" spans="1:19" hidden="1" x14ac:dyDescent="0.25">
      <c r="A38" s="42" t="s">
        <v>981</v>
      </c>
      <c r="B38" s="42">
        <v>120661</v>
      </c>
      <c r="C38" s="53">
        <v>352000</v>
      </c>
      <c r="D38" s="42" t="s">
        <v>938</v>
      </c>
      <c r="E38" s="42" t="s">
        <v>764</v>
      </c>
      <c r="F38" s="42" t="s">
        <v>7</v>
      </c>
      <c r="G38" s="42" t="s">
        <v>1</v>
      </c>
      <c r="H38" s="42" t="s">
        <v>1</v>
      </c>
      <c r="I38" s="42" t="s">
        <v>342</v>
      </c>
      <c r="J38" s="42" t="s">
        <v>341</v>
      </c>
      <c r="K38" s="42" t="s">
        <v>944</v>
      </c>
      <c r="L38" s="42" t="str">
        <f>VLOOKUP(Table15[[#This Row],[Tegevusala kood]],Table4[[Tegevusala kood]:[Tegevusala alanimetus]],2,FALSE)</f>
        <v>Noorte huviharidus ja huvitegevus</v>
      </c>
      <c r="M38" s="42" t="s">
        <v>1</v>
      </c>
      <c r="N38" s="42" t="s">
        <v>1</v>
      </c>
      <c r="O38" s="53" t="str">
        <f>VLOOKUP(Table15[[#This Row],[Eelarvekonto]],Table5[[Konto]:[Kontode alanimetus]],5,FALSE)</f>
        <v>Toetusfond</v>
      </c>
      <c r="P38" s="53" t="str">
        <f>VLOOKUP(Table15[[#This Row],[Tegevusala kood]],Table4[[Tegevusala kood]:[Tegevusala alanimetus]],4,FALSE)</f>
        <v>Noorte huviharidus ja huvitegevus</v>
      </c>
      <c r="Q38" s="42"/>
      <c r="R38" s="42"/>
      <c r="S38" s="42">
        <f>Table15[[#This Row],[Summa]]+Table15[[#This Row],[I Muudatus]]+Table15[[#This Row],[II Muudatus]]</f>
        <v>120661</v>
      </c>
    </row>
    <row r="39" spans="1:19" x14ac:dyDescent="0.25">
      <c r="A39" s="57" t="s">
        <v>1573</v>
      </c>
      <c r="B39" s="88">
        <v>123420</v>
      </c>
      <c r="C39" s="60">
        <v>3224</v>
      </c>
      <c r="D39" s="57" t="s">
        <v>927</v>
      </c>
      <c r="E39" s="57" t="s">
        <v>764</v>
      </c>
      <c r="F39" s="57" t="s">
        <v>7</v>
      </c>
      <c r="G39" s="57" t="s">
        <v>1</v>
      </c>
      <c r="H39" s="57" t="s">
        <v>1</v>
      </c>
      <c r="I39" s="57" t="s">
        <v>167</v>
      </c>
      <c r="J39" s="57" t="s">
        <v>165</v>
      </c>
      <c r="K39" s="57" t="s">
        <v>166</v>
      </c>
      <c r="L39" s="57" t="str">
        <f>VLOOKUP(Table15[[#This Row],[Tegevusala kood]],Table4[[Tegevusala kood]:[Tegevusala alanimetus]],2,FALSE)</f>
        <v>Tammiku Kodu</v>
      </c>
      <c r="M39" s="57" t="s">
        <v>1</v>
      </c>
      <c r="N39" s="57" t="s">
        <v>1</v>
      </c>
      <c r="O39" s="60" t="str">
        <f>VLOOKUP(Table15[[#This Row],[Eelarvekonto]],Table5[[Konto]:[Kontode alanimetus]],5,FALSE)</f>
        <v>Tulud kaupade ja teenuste müügist</v>
      </c>
      <c r="P39" s="60" t="str">
        <f>VLOOKUP(Table15[[#This Row],[Tegevusala kood]],Table4[[Tegevusala kood]:[Tegevusala alanimetus]],4,FALSE)</f>
        <v>Eakate sotsiaalhoolekande asutused</v>
      </c>
      <c r="Q39" s="57"/>
      <c r="R39" s="57"/>
      <c r="S39" s="57">
        <f>Table15[[#This Row],[Summa]]+Table15[[#This Row],[I Muudatus]]+Table15[[#This Row],[II Muudatus]]</f>
        <v>123420</v>
      </c>
    </row>
    <row r="40" spans="1:19" x14ac:dyDescent="0.25">
      <c r="A40" s="57" t="s">
        <v>945</v>
      </c>
      <c r="B40" s="88">
        <v>211680</v>
      </c>
      <c r="C40" s="60">
        <v>3224</v>
      </c>
      <c r="D40" s="57" t="s">
        <v>927</v>
      </c>
      <c r="E40" s="57" t="s">
        <v>764</v>
      </c>
      <c r="F40" s="57" t="s">
        <v>7</v>
      </c>
      <c r="G40" s="57" t="s">
        <v>1</v>
      </c>
      <c r="H40" s="57" t="s">
        <v>1</v>
      </c>
      <c r="I40" s="57" t="s">
        <v>147</v>
      </c>
      <c r="J40" s="57" t="s">
        <v>145</v>
      </c>
      <c r="K40" s="57" t="s">
        <v>146</v>
      </c>
      <c r="L40" s="57" t="str">
        <f>VLOOKUP(Table15[[#This Row],[Tegevusala kood]],Table4[[Tegevusala kood]:[Tegevusala alanimetus]],2,FALSE)</f>
        <v>Ulvi Kodu</v>
      </c>
      <c r="M40" s="57" t="s">
        <v>1</v>
      </c>
      <c r="N40" s="57" t="s">
        <v>1</v>
      </c>
      <c r="O40" s="60" t="str">
        <f>VLOOKUP(Table15[[#This Row],[Eelarvekonto]],Table5[[Konto]:[Kontode alanimetus]],5,FALSE)</f>
        <v>Tulud kaupade ja teenuste müügist</v>
      </c>
      <c r="P40" s="60" t="str">
        <f>VLOOKUP(Table15[[#This Row],[Tegevusala kood]],Table4[[Tegevusala kood]:[Tegevusala alanimetus]],4,FALSE)</f>
        <v>Eakate sotsiaalhoolekande asutused</v>
      </c>
      <c r="Q40" s="57"/>
      <c r="R40" s="57"/>
      <c r="S40" s="57">
        <f>Table15[[#This Row],[Summa]]+Table15[[#This Row],[I Muudatus]]+Table15[[#This Row],[II Muudatus]]</f>
        <v>211680</v>
      </c>
    </row>
    <row r="41" spans="1:19" x14ac:dyDescent="0.25">
      <c r="A41" s="41" t="s">
        <v>1395</v>
      </c>
      <c r="B41" s="63">
        <v>983784</v>
      </c>
      <c r="C41" s="52">
        <v>3224</v>
      </c>
      <c r="D41" s="41" t="s">
        <v>927</v>
      </c>
      <c r="E41" s="41" t="s">
        <v>764</v>
      </c>
      <c r="F41" s="41" t="s">
        <v>7</v>
      </c>
      <c r="G41" s="41" t="s">
        <v>1</v>
      </c>
      <c r="H41" s="41" t="s">
        <v>1</v>
      </c>
      <c r="I41" s="41" t="s">
        <v>460</v>
      </c>
      <c r="J41" s="41" t="s">
        <v>458</v>
      </c>
      <c r="K41" s="41" t="s">
        <v>459</v>
      </c>
      <c r="L41" s="41" t="str">
        <f>VLOOKUP(Table15[[#This Row],[Tegevusala kood]],Table4[[Tegevusala kood]:[Tegevusala alanimetus]],2,FALSE)</f>
        <v>Vinni Perekodu</v>
      </c>
      <c r="M41" s="41" t="s">
        <v>1</v>
      </c>
      <c r="N41" s="41" t="s">
        <v>1</v>
      </c>
      <c r="O41" s="53" t="str">
        <f>VLOOKUP(Table15[[#This Row],[Eelarvekonto]],Table5[[Konto]:[Kontode alanimetus]],5,FALSE)</f>
        <v>Tulud kaupade ja teenuste müügist</v>
      </c>
      <c r="P41" s="53" t="str">
        <f>VLOOKUP(Table15[[#This Row],[Tegevusala kood]],Table4[[Tegevusala kood]:[Tegevusala alanimetus]],4,FALSE)</f>
        <v>Laste ja noorte sotsiaalhoolekande asutused</v>
      </c>
      <c r="S41" s="41">
        <f>Table15[[#This Row],[Summa]]+Table15[[#This Row],[I Muudatus]]+Table15[[#This Row],[II Muudatus]]</f>
        <v>983784</v>
      </c>
    </row>
    <row r="42" spans="1:19" hidden="1" x14ac:dyDescent="0.25">
      <c r="A42" s="42" t="s">
        <v>933</v>
      </c>
      <c r="B42" s="42">
        <v>2940</v>
      </c>
      <c r="C42" s="53">
        <v>322020</v>
      </c>
      <c r="D42" s="42" t="s">
        <v>933</v>
      </c>
      <c r="E42" s="42" t="s">
        <v>764</v>
      </c>
      <c r="F42" s="42" t="s">
        <v>7</v>
      </c>
      <c r="G42" s="42" t="s">
        <v>262</v>
      </c>
      <c r="H42" s="42" t="s">
        <v>261</v>
      </c>
      <c r="I42" s="42" t="s">
        <v>139</v>
      </c>
      <c r="J42" s="42" t="s">
        <v>54</v>
      </c>
      <c r="K42" s="42" t="s">
        <v>404</v>
      </c>
      <c r="L42" s="42" t="str">
        <f>VLOOKUP(Table15[[#This Row],[Tegevusala kood]],Table4[[Tegevusala kood]:[Tegevusala alanimetus]],2,FALSE)</f>
        <v>Valla- ja linnavalitsus</v>
      </c>
      <c r="M42" s="42" t="s">
        <v>912</v>
      </c>
      <c r="N42" s="42" t="s">
        <v>913</v>
      </c>
      <c r="O42" s="53" t="str">
        <f>VLOOKUP(Table15[[#This Row],[Eelarvekonto]],Table5[[Konto]:[Kontode alanimetus]],5,FALSE)</f>
        <v>Tulud kaupade ja teenuste müügist</v>
      </c>
      <c r="P42" s="53" t="str">
        <f>VLOOKUP(Table15[[#This Row],[Tegevusala kood]],Table4[[Tegevusala kood]:[Tegevusala alanimetus]],4,FALSE)</f>
        <v>Valla- ja linnavalitsus</v>
      </c>
      <c r="Q42" s="42"/>
      <c r="R42" s="42"/>
      <c r="S42" s="42">
        <f>Table15[[#This Row],[Summa]]+Table15[[#This Row],[I Muudatus]]+Table15[[#This Row],[II Muudatus]]</f>
        <v>2940</v>
      </c>
    </row>
    <row r="43" spans="1:19" hidden="1" x14ac:dyDescent="0.25">
      <c r="A43" s="42" t="s">
        <v>946</v>
      </c>
      <c r="B43" s="42">
        <v>42048</v>
      </c>
      <c r="C43" s="53">
        <v>322020</v>
      </c>
      <c r="D43" s="42" t="s">
        <v>933</v>
      </c>
      <c r="E43" s="42" t="s">
        <v>764</v>
      </c>
      <c r="F43" s="42" t="s">
        <v>7</v>
      </c>
      <c r="G43" s="42" t="s">
        <v>360</v>
      </c>
      <c r="H43" s="42" t="s">
        <v>359</v>
      </c>
      <c r="I43" s="42" t="s">
        <v>139</v>
      </c>
      <c r="J43" s="42" t="s">
        <v>54</v>
      </c>
      <c r="K43" s="42" t="s">
        <v>404</v>
      </c>
      <c r="L43" s="42" t="str">
        <f>VLOOKUP(Table15[[#This Row],[Tegevusala kood]],Table4[[Tegevusala kood]:[Tegevusala alanimetus]],2,FALSE)</f>
        <v>Valla- ja linnavalitsus</v>
      </c>
      <c r="M43" s="42" t="s">
        <v>912</v>
      </c>
      <c r="N43" s="42" t="s">
        <v>913</v>
      </c>
      <c r="O43" s="53" t="str">
        <f>VLOOKUP(Table15[[#This Row],[Eelarvekonto]],Table5[[Konto]:[Kontode alanimetus]],5,FALSE)</f>
        <v>Tulud kaupade ja teenuste müügist</v>
      </c>
      <c r="P43" s="53" t="str">
        <f>VLOOKUP(Table15[[#This Row],[Tegevusala kood]],Table4[[Tegevusala kood]:[Tegevusala alanimetus]],4,FALSE)</f>
        <v>Valla- ja linnavalitsus</v>
      </c>
      <c r="Q43" s="42"/>
      <c r="R43" s="42"/>
      <c r="S43" s="42">
        <f>Table15[[#This Row],[Summa]]+Table15[[#This Row],[I Muudatus]]+Table15[[#This Row],[II Muudatus]]</f>
        <v>42048</v>
      </c>
    </row>
    <row r="44" spans="1:19" hidden="1" x14ac:dyDescent="0.25">
      <c r="A44" s="42" t="s">
        <v>933</v>
      </c>
      <c r="B44" s="42">
        <v>19529</v>
      </c>
      <c r="C44" s="53">
        <v>322020</v>
      </c>
      <c r="D44" s="42" t="s">
        <v>933</v>
      </c>
      <c r="E44" s="42" t="s">
        <v>764</v>
      </c>
      <c r="F44" s="42" t="s">
        <v>7</v>
      </c>
      <c r="G44" s="42" t="s">
        <v>362</v>
      </c>
      <c r="H44" s="42" t="s">
        <v>947</v>
      </c>
      <c r="I44" s="42" t="s">
        <v>139</v>
      </c>
      <c r="J44" s="42" t="s">
        <v>54</v>
      </c>
      <c r="K44" s="42" t="s">
        <v>404</v>
      </c>
      <c r="L44" s="42" t="str">
        <f>VLOOKUP(Table15[[#This Row],[Tegevusala kood]],Table4[[Tegevusala kood]:[Tegevusala alanimetus]],2,FALSE)</f>
        <v>Valla- ja linnavalitsus</v>
      </c>
      <c r="M44" s="42" t="s">
        <v>912</v>
      </c>
      <c r="N44" s="42" t="s">
        <v>913</v>
      </c>
      <c r="O44" s="53" t="str">
        <f>VLOOKUP(Table15[[#This Row],[Eelarvekonto]],Table5[[Konto]:[Kontode alanimetus]],5,FALSE)</f>
        <v>Tulud kaupade ja teenuste müügist</v>
      </c>
      <c r="P44" s="53" t="str">
        <f>VLOOKUP(Table15[[#This Row],[Tegevusala kood]],Table4[[Tegevusala kood]:[Tegevusala alanimetus]],4,FALSE)</f>
        <v>Valla- ja linnavalitsus</v>
      </c>
      <c r="Q44" s="42"/>
      <c r="R44" s="42"/>
      <c r="S44" s="42">
        <f>Table15[[#This Row],[Summa]]+Table15[[#This Row],[I Muudatus]]+Table15[[#This Row],[II Muudatus]]</f>
        <v>19529</v>
      </c>
    </row>
    <row r="45" spans="1:19" x14ac:dyDescent="0.25">
      <c r="A45" s="42" t="s">
        <v>285</v>
      </c>
      <c r="B45" s="99">
        <v>11700.1</v>
      </c>
      <c r="C45" s="53">
        <v>3224</v>
      </c>
      <c r="D45" s="42" t="s">
        <v>927</v>
      </c>
      <c r="E45" s="42" t="s">
        <v>764</v>
      </c>
      <c r="F45" s="42" t="s">
        <v>7</v>
      </c>
      <c r="G45" s="42" t="s">
        <v>1</v>
      </c>
      <c r="H45" s="42" t="s">
        <v>1</v>
      </c>
      <c r="I45" s="42" t="s">
        <v>147</v>
      </c>
      <c r="J45" s="42" t="s">
        <v>145</v>
      </c>
      <c r="K45" s="42" t="s">
        <v>146</v>
      </c>
      <c r="L45" s="42" t="str">
        <f>VLOOKUP(Table15[[#This Row],[Tegevusala kood]],Table4[[Tegevusala kood]:[Tegevusala alanimetus]],2,FALSE)</f>
        <v>Ulvi Kodu</v>
      </c>
      <c r="M45" s="42" t="s">
        <v>1</v>
      </c>
      <c r="N45" s="42" t="s">
        <v>1</v>
      </c>
      <c r="O45" s="53" t="str">
        <f>VLOOKUP(Table15[[#This Row],[Eelarvekonto]],Table5[[Konto]:[Kontode alanimetus]],5,FALSE)</f>
        <v>Tulud kaupade ja teenuste müügist</v>
      </c>
      <c r="P45" s="53" t="str">
        <f>VLOOKUP(Table15[[#This Row],[Tegevusala kood]],Table4[[Tegevusala kood]:[Tegevusala alanimetus]],4,FALSE)</f>
        <v>Eakate sotsiaalhoolekande asutused</v>
      </c>
      <c r="Q45" s="42"/>
      <c r="R45" s="42"/>
      <c r="S45" s="42">
        <f>Table15[[#This Row],[Summa]]+Table15[[#This Row],[I Muudatus]]+Table15[[#This Row],[II Muudatus]]</f>
        <v>11700.1</v>
      </c>
    </row>
    <row r="46" spans="1:19" x14ac:dyDescent="0.25">
      <c r="A46" s="42" t="s">
        <v>284</v>
      </c>
      <c r="B46" s="99">
        <v>5250.31</v>
      </c>
      <c r="C46" s="53">
        <v>3224</v>
      </c>
      <c r="D46" s="42" t="s">
        <v>927</v>
      </c>
      <c r="E46" s="42" t="s">
        <v>764</v>
      </c>
      <c r="F46" s="42" t="s">
        <v>7</v>
      </c>
      <c r="G46" s="42" t="s">
        <v>1</v>
      </c>
      <c r="H46" s="42" t="s">
        <v>1</v>
      </c>
      <c r="I46" s="42" t="s">
        <v>147</v>
      </c>
      <c r="J46" s="42" t="s">
        <v>145</v>
      </c>
      <c r="K46" s="42" t="s">
        <v>146</v>
      </c>
      <c r="L46" s="42" t="str">
        <f>VLOOKUP(Table15[[#This Row],[Tegevusala kood]],Table4[[Tegevusala kood]:[Tegevusala alanimetus]],2,FALSE)</f>
        <v>Ulvi Kodu</v>
      </c>
      <c r="M46" s="42" t="s">
        <v>1</v>
      </c>
      <c r="N46" s="42" t="s">
        <v>1</v>
      </c>
      <c r="O46" s="53" t="str">
        <f>VLOOKUP(Table15[[#This Row],[Eelarvekonto]],Table5[[Konto]:[Kontode alanimetus]],5,FALSE)</f>
        <v>Tulud kaupade ja teenuste müügist</v>
      </c>
      <c r="P46" s="53" t="str">
        <f>VLOOKUP(Table15[[#This Row],[Tegevusala kood]],Table4[[Tegevusala kood]:[Tegevusala alanimetus]],4,FALSE)</f>
        <v>Eakate sotsiaalhoolekande asutused</v>
      </c>
      <c r="Q46" s="42"/>
      <c r="R46" s="42"/>
      <c r="S46" s="42">
        <f>Table15[[#This Row],[Summa]]+Table15[[#This Row],[I Muudatus]]+Table15[[#This Row],[II Muudatus]]</f>
        <v>5250.31</v>
      </c>
    </row>
    <row r="47" spans="1:19" hidden="1" x14ac:dyDescent="0.25">
      <c r="A47" s="42" t="s">
        <v>1405</v>
      </c>
      <c r="B47" s="57">
        <v>2025251</v>
      </c>
      <c r="C47" s="53">
        <v>352000</v>
      </c>
      <c r="D47" s="42" t="s">
        <v>938</v>
      </c>
      <c r="E47" s="42" t="s">
        <v>764</v>
      </c>
      <c r="F47" s="42" t="s">
        <v>7</v>
      </c>
      <c r="G47" s="42" t="s">
        <v>1</v>
      </c>
      <c r="H47" s="42" t="s">
        <v>1</v>
      </c>
      <c r="I47" s="42" t="s">
        <v>342</v>
      </c>
      <c r="J47" s="42" t="s">
        <v>341</v>
      </c>
      <c r="K47" s="42" t="s">
        <v>948</v>
      </c>
      <c r="L47" s="42" t="str">
        <f>VLOOKUP(Table15[[#This Row],[Tegevusala kood]],Table4[[Tegevusala kood]:[Tegevusala alanimetus]],2,FALSE)</f>
        <v>Muu haridus, sh hariduse haldus</v>
      </c>
      <c r="M47" s="42"/>
      <c r="N47" s="42"/>
      <c r="O47" s="53" t="str">
        <f>VLOOKUP(Table15[[#This Row],[Eelarvekonto]],Table5[[Konto]:[Kontode alanimetus]],5,FALSE)</f>
        <v>Toetusfond</v>
      </c>
      <c r="P47" s="53" t="str">
        <f>VLOOKUP(Table15[[#This Row],[Tegevusala kood]],Table4[[Tegevusala kood]:[Tegevusala alanimetus]],4,FALSE)</f>
        <v>Muu haridus, sh hariduse haldus</v>
      </c>
      <c r="Q47" s="42"/>
      <c r="R47" s="42"/>
      <c r="S47" s="42">
        <f>Table15[[#This Row],[Summa]]+Table15[[#This Row],[I Muudatus]]+Table15[[#This Row],[II Muudatus]]</f>
        <v>2025251</v>
      </c>
    </row>
    <row r="48" spans="1:19" x14ac:dyDescent="0.25">
      <c r="A48" s="57" t="s">
        <v>1574</v>
      </c>
      <c r="B48" s="88">
        <v>27115</v>
      </c>
      <c r="C48" s="60">
        <v>3224</v>
      </c>
      <c r="D48" s="57" t="s">
        <v>927</v>
      </c>
      <c r="E48" s="57" t="s">
        <v>764</v>
      </c>
      <c r="F48" s="57" t="s">
        <v>7</v>
      </c>
      <c r="G48" s="57" t="s">
        <v>1</v>
      </c>
      <c r="H48" s="57" t="s">
        <v>1</v>
      </c>
      <c r="I48" s="57" t="s">
        <v>167</v>
      </c>
      <c r="J48" s="57" t="s">
        <v>165</v>
      </c>
      <c r="K48" s="57" t="s">
        <v>166</v>
      </c>
      <c r="L48" s="57" t="str">
        <f>VLOOKUP(Table15[[#This Row],[Tegevusala kood]],Table4[[Tegevusala kood]:[Tegevusala alanimetus]],2,FALSE)</f>
        <v>Tammiku Kodu</v>
      </c>
      <c r="M48" s="57"/>
      <c r="N48" s="57"/>
      <c r="O48" s="60" t="str">
        <f>VLOOKUP(Table15[[#This Row],[Eelarvekonto]],Table5[[Konto]:[Kontode alanimetus]],5,FALSE)</f>
        <v>Tulud kaupade ja teenuste müügist</v>
      </c>
      <c r="P48" s="60" t="str">
        <f>VLOOKUP(Table15[[#This Row],[Tegevusala kood]],Table4[[Tegevusala kood]:[Tegevusala alanimetus]],4,FALSE)</f>
        <v>Eakate sotsiaalhoolekande asutused</v>
      </c>
      <c r="Q48" s="57"/>
      <c r="R48" s="57"/>
      <c r="S48" s="57">
        <f>Table15[[#This Row],[Summa]]+Table15[[#This Row],[I Muudatus]]+Table15[[#This Row],[II Muudatus]]</f>
        <v>27115</v>
      </c>
    </row>
    <row r="49" spans="1:19" x14ac:dyDescent="0.25">
      <c r="A49" s="57" t="s">
        <v>1575</v>
      </c>
      <c r="B49" s="88">
        <v>36960</v>
      </c>
      <c r="C49" s="60">
        <v>3224</v>
      </c>
      <c r="D49" s="57" t="s">
        <v>927</v>
      </c>
      <c r="E49" s="57" t="s">
        <v>764</v>
      </c>
      <c r="F49" s="57" t="s">
        <v>7</v>
      </c>
      <c r="G49" s="57" t="s">
        <v>1</v>
      </c>
      <c r="H49" s="57" t="s">
        <v>1</v>
      </c>
      <c r="I49" s="57" t="s">
        <v>147</v>
      </c>
      <c r="J49" s="57" t="s">
        <v>145</v>
      </c>
      <c r="K49" s="57" t="s">
        <v>146</v>
      </c>
      <c r="L49" s="57" t="str">
        <f>VLOOKUP(Table15[[#This Row],[Tegevusala kood]],Table4[[Tegevusala kood]:[Tegevusala alanimetus]],2,FALSE)</f>
        <v>Ulvi Kodu</v>
      </c>
      <c r="M49" s="57"/>
      <c r="N49" s="57"/>
      <c r="O49" s="60" t="str">
        <f>VLOOKUP(Table15[[#This Row],[Eelarvekonto]],Table5[[Konto]:[Kontode alanimetus]],5,FALSE)</f>
        <v>Tulud kaupade ja teenuste müügist</v>
      </c>
      <c r="P49" s="60" t="str">
        <f>VLOOKUP(Table15[[#This Row],[Tegevusala kood]],Table4[[Tegevusala kood]:[Tegevusala alanimetus]],4,FALSE)</f>
        <v>Eakate sotsiaalhoolekande asutused</v>
      </c>
      <c r="Q49" s="57"/>
      <c r="R49" s="57"/>
      <c r="S49" s="57">
        <f>Table15[[#This Row],[Summa]]+Table15[[#This Row],[I Muudatus]]+Table15[[#This Row],[II Muudatus]]</f>
        <v>36960</v>
      </c>
    </row>
    <row r="50" spans="1:19" hidden="1" x14ac:dyDescent="0.25">
      <c r="A50" s="42" t="s">
        <v>954</v>
      </c>
      <c r="B50" s="42">
        <v>1815000</v>
      </c>
      <c r="C50" s="42">
        <v>25852</v>
      </c>
      <c r="D50" s="42" t="s">
        <v>906</v>
      </c>
      <c r="E50" s="98" t="s">
        <v>955</v>
      </c>
      <c r="F50" s="42" t="s">
        <v>46</v>
      </c>
      <c r="G50" s="42"/>
      <c r="H50" s="42"/>
      <c r="I50" s="98" t="s">
        <v>139</v>
      </c>
      <c r="J50" s="42" t="s">
        <v>54</v>
      </c>
      <c r="K50" s="42" t="s">
        <v>404</v>
      </c>
      <c r="L50" s="53" t="str">
        <f>VLOOKUP(Table15[[#This Row],[Tegevusala kood]],Table4[[Tegevusala kood]:[Tegevusala alanimetus]],2,FALSE)</f>
        <v>Valla- ja linnavalitsus</v>
      </c>
      <c r="M50" s="42"/>
      <c r="N50" s="42"/>
      <c r="O50" s="53" t="str">
        <f>VLOOKUP(Table15[[#This Row],[Eelarvekonto]],Table5[[Konto]:[Kontode alanimetus]],5,FALSE)</f>
        <v>Kohustuste võtmine (+)</v>
      </c>
      <c r="P50" s="53" t="str">
        <f>VLOOKUP(Table15[[#This Row],[Tegevusala kood]],Table4[[Tegevusala kood]:[Tegevusala alanimetus]],4,FALSE)</f>
        <v>Valla- ja linnavalitsus</v>
      </c>
      <c r="Q50" s="42"/>
      <c r="R50" s="42"/>
      <c r="S50" s="42">
        <f>Table15[[#This Row],[Summa]]+Table15[[#This Row],[I Muudatus]]+Table15[[#This Row],[II Muudatus]]</f>
        <v>1815000</v>
      </c>
    </row>
    <row r="51" spans="1:19" hidden="1" x14ac:dyDescent="0.25">
      <c r="A51" s="42" t="s">
        <v>985</v>
      </c>
      <c r="B51" s="57">
        <v>4</v>
      </c>
      <c r="C51" s="53">
        <v>352000</v>
      </c>
      <c r="D51" s="42" t="s">
        <v>938</v>
      </c>
      <c r="E51" s="42" t="s">
        <v>764</v>
      </c>
      <c r="F51" s="42" t="s">
        <v>7</v>
      </c>
      <c r="G51" s="42"/>
      <c r="H51" s="42"/>
      <c r="I51" s="42" t="s">
        <v>139</v>
      </c>
      <c r="J51" s="42" t="s">
        <v>54</v>
      </c>
      <c r="K51" s="42" t="s">
        <v>743</v>
      </c>
      <c r="L51" s="53" t="str">
        <f>VLOOKUP(Table15[[#This Row],[Tegevusala kood]],Table4[[Tegevusala kood]:[Tegevusala alanimetus]],2,FALSE)</f>
        <v>Üldiseloomuga ülekanded valitsussektoris</v>
      </c>
      <c r="M51" s="42"/>
      <c r="N51" s="42"/>
      <c r="O51" s="53" t="str">
        <f>VLOOKUP(Table15[[#This Row],[Eelarvekonto]],Table5[[Konto]:[Kontode alanimetus]],5,FALSE)</f>
        <v>Toetusfond</v>
      </c>
      <c r="P51" s="53" t="str">
        <f>VLOOKUP(Table15[[#This Row],[Tegevusala kood]],Table4[[Tegevusala kood]:[Tegevusala alanimetus]],4,FALSE)</f>
        <v>Üldiseloomuga ülekanded valitsussektoris</v>
      </c>
      <c r="Q51" s="42"/>
      <c r="R51" s="42"/>
      <c r="S51" s="42">
        <f>Table15[[#This Row],[Summa]]+Table15[[#This Row],[I Muudatus]]+Table15[[#This Row],[II Muudatus]]</f>
        <v>4</v>
      </c>
    </row>
    <row r="52" spans="1:19" hidden="1" x14ac:dyDescent="0.25">
      <c r="A52" s="57" t="s">
        <v>992</v>
      </c>
      <c r="B52" s="57">
        <v>14000</v>
      </c>
      <c r="C52" s="57">
        <v>352</v>
      </c>
      <c r="D52" s="57" t="s">
        <v>930</v>
      </c>
      <c r="E52" s="57" t="s">
        <v>764</v>
      </c>
      <c r="F52" s="57" t="s">
        <v>7</v>
      </c>
      <c r="G52" s="57"/>
      <c r="H52" s="57"/>
      <c r="I52" s="57" t="s">
        <v>139</v>
      </c>
      <c r="J52" s="57" t="s">
        <v>54</v>
      </c>
      <c r="K52" s="57" t="s">
        <v>404</v>
      </c>
      <c r="L52" s="60" t="str">
        <f>VLOOKUP(Table15[[#This Row],[Tegevusala kood]],Table4[[Tegevusala kood]:[Tegevusala alanimetus]],2,FALSE)</f>
        <v>Valla- ja linnavalitsus</v>
      </c>
      <c r="M52" s="57"/>
      <c r="N52" s="57"/>
      <c r="O52" s="60" t="str">
        <f>VLOOKUP(Table15[[#This Row],[Eelarvekonto]],Table5[[Konto]:[Kontode alanimetus]],5,FALSE)</f>
        <v>Muud saadud toetused tegevuskuludeks</v>
      </c>
      <c r="P52" s="60" t="str">
        <f>VLOOKUP(Table15[[#This Row],[Tegevusala kood]],Table4[[Tegevusala kood]:[Tegevusala alanimetus]],4,FALSE)</f>
        <v>Valla- ja linnavalitsus</v>
      </c>
      <c r="Q52" s="57"/>
      <c r="R52" s="57"/>
      <c r="S52" s="60">
        <f>Table15[[#This Row],[Summa]]+Table15[[#This Row],[I Muudatus]]+Table15[[#This Row],[II Muudatus]]</f>
        <v>14000</v>
      </c>
    </row>
    <row r="53" spans="1:19" hidden="1" x14ac:dyDescent="0.25">
      <c r="A53" s="57" t="s">
        <v>995</v>
      </c>
      <c r="B53" s="57"/>
      <c r="C53" s="57">
        <v>3500</v>
      </c>
      <c r="D53" s="57" t="s">
        <v>930</v>
      </c>
      <c r="E53" s="57" t="s">
        <v>764</v>
      </c>
      <c r="F53" s="57" t="s">
        <v>7</v>
      </c>
      <c r="G53" s="57"/>
      <c r="H53" s="57"/>
      <c r="I53" s="57" t="s">
        <v>409</v>
      </c>
      <c r="J53" s="57" t="s">
        <v>408</v>
      </c>
      <c r="K53" s="92" t="s">
        <v>410</v>
      </c>
      <c r="L53" s="60" t="str">
        <f>VLOOKUP(Table15[[#This Row],[Tegevusala kood]],Table4[[Tegevusala kood]:[Tegevusala alanimetus]],2,FALSE)</f>
        <v>Muu majandus (sh majanduse haldus)</v>
      </c>
      <c r="M53" s="57" t="s">
        <v>912</v>
      </c>
      <c r="N53" s="57" t="s">
        <v>913</v>
      </c>
      <c r="O53" s="60" t="str">
        <f>VLOOKUP(Table15[[#This Row],[Eelarvekonto]],Table5[[Konto]:[Kontode alanimetus]],5,FALSE)</f>
        <v>Muud saadud toetused tegevuskuludeks</v>
      </c>
      <c r="P53" s="60" t="str">
        <f>VLOOKUP(Table15[[#This Row],[Tegevusala kood]],Table4[[Tegevusala kood]:[Tegevusala alanimetus]],4,FALSE)</f>
        <v>Muu majandus (sh majanduse haldus)</v>
      </c>
      <c r="Q53" s="57"/>
      <c r="R53" s="57"/>
      <c r="S53" s="60">
        <f>Table15[[#This Row],[Summa]]+Table15[[#This Row],[I Muudatus]]+Table15[[#This Row],[II Muudatus]]</f>
        <v>0</v>
      </c>
    </row>
    <row r="54" spans="1:19" hidden="1" x14ac:dyDescent="0.25">
      <c r="A54" s="57" t="s">
        <v>996</v>
      </c>
      <c r="B54" s="57">
        <v>0</v>
      </c>
      <c r="C54" s="57">
        <v>3811</v>
      </c>
      <c r="D54" s="57" t="s">
        <v>996</v>
      </c>
      <c r="E54" s="57" t="s">
        <v>910</v>
      </c>
      <c r="F54" s="57" t="s">
        <v>911</v>
      </c>
      <c r="G54" s="57"/>
      <c r="H54" s="57"/>
      <c r="I54" s="57" t="s">
        <v>139</v>
      </c>
      <c r="J54" s="57" t="s">
        <v>54</v>
      </c>
      <c r="K54" s="57" t="s">
        <v>404</v>
      </c>
      <c r="L54" s="60" t="str">
        <f>VLOOKUP(Table15[[#This Row],[Tegevusala kood]],Table4[[Tegevusala kood]:[Tegevusala alanimetus]],2,FALSE)</f>
        <v>Valla- ja linnavalitsus</v>
      </c>
      <c r="M54" s="57"/>
      <c r="N54" s="57"/>
      <c r="O54" s="60" t="str">
        <f>VLOOKUP(Table15[[#This Row],[Eelarvekonto]],Table5[[Konto]:[Kontode alanimetus]],5,FALSE)</f>
        <v>Põhivara müük (+)</v>
      </c>
      <c r="P54" s="60" t="str">
        <f>VLOOKUP(Table15[[#This Row],[Tegevusala kood]],Table4[[Tegevusala kood]:[Tegevusala alanimetus]],4,FALSE)</f>
        <v>Valla- ja linnavalitsus</v>
      </c>
      <c r="Q54" s="57"/>
      <c r="R54" s="57"/>
      <c r="S54" s="60">
        <f>Table15[[#This Row],[Summa]]+Table15[[#This Row],[I Muudatus]]+Table15[[#This Row],[II Muudatus]]</f>
        <v>0</v>
      </c>
    </row>
    <row r="55" spans="1:19" hidden="1" x14ac:dyDescent="0.25">
      <c r="A55" s="57" t="s">
        <v>999</v>
      </c>
      <c r="B55" s="57">
        <v>0</v>
      </c>
      <c r="C55" s="57">
        <v>3500</v>
      </c>
      <c r="D55" s="57" t="s">
        <v>930</v>
      </c>
      <c r="E55" s="57" t="s">
        <v>764</v>
      </c>
      <c r="F55" s="57" t="s">
        <v>7</v>
      </c>
      <c r="G55" s="57"/>
      <c r="H55" s="57"/>
      <c r="I55" s="57" t="s">
        <v>139</v>
      </c>
      <c r="J55" s="57" t="s">
        <v>54</v>
      </c>
      <c r="K55" s="57" t="s">
        <v>404</v>
      </c>
      <c r="L55" s="60" t="str">
        <f>VLOOKUP(Table15[[#This Row],[Tegevusala kood]],Table4[[Tegevusala kood]:[Tegevusala alanimetus]],2,FALSE)</f>
        <v>Valla- ja linnavalitsus</v>
      </c>
      <c r="M55" s="57" t="s">
        <v>912</v>
      </c>
      <c r="N55" s="57" t="s">
        <v>913</v>
      </c>
      <c r="O55" s="60" t="str">
        <f>VLOOKUP(Table15[[#This Row],[Eelarvekonto]],Table5[[Konto]:[Kontode alanimetus]],5,FALSE)</f>
        <v>Muud saadud toetused tegevuskuludeks</v>
      </c>
      <c r="P55" s="60" t="str">
        <f>VLOOKUP(Table15[[#This Row],[Tegevusala kood]],Table4[[Tegevusala kood]:[Tegevusala alanimetus]],4,FALSE)</f>
        <v>Valla- ja linnavalitsus</v>
      </c>
      <c r="Q55" s="57"/>
      <c r="R55" s="57"/>
      <c r="S55" s="60">
        <f>Table15[[#This Row],[Summa]]+Table15[[#This Row],[I Muudatus]]+Table15[[#This Row],[II Muudatus]]</f>
        <v>0</v>
      </c>
    </row>
    <row r="56" spans="1:19" x14ac:dyDescent="0.25">
      <c r="A56" s="57" t="s">
        <v>1001</v>
      </c>
      <c r="B56" s="57">
        <v>0</v>
      </c>
      <c r="C56" s="57">
        <v>3224</v>
      </c>
      <c r="D56" s="57" t="s">
        <v>927</v>
      </c>
      <c r="E56" s="57" t="s">
        <v>764</v>
      </c>
      <c r="F56" s="57" t="s">
        <v>7</v>
      </c>
      <c r="G56" s="57"/>
      <c r="H56" s="57"/>
      <c r="I56" s="57" t="s">
        <v>147</v>
      </c>
      <c r="J56" s="57" t="s">
        <v>145</v>
      </c>
      <c r="K56" s="57" t="s">
        <v>146</v>
      </c>
      <c r="L56" s="60" t="str">
        <f>VLOOKUP(Table15[[#This Row],[Tegevusala kood]],Table4[[Tegevusala kood]:[Tegevusala alanimetus]],2,FALSE)</f>
        <v>Ulvi Kodu</v>
      </c>
      <c r="M56" s="57"/>
      <c r="N56" s="57"/>
      <c r="O56" s="60" t="str">
        <f>VLOOKUP(Table15[[#This Row],[Eelarvekonto]],Table5[[Konto]:[Kontode alanimetus]],5,FALSE)</f>
        <v>Tulud kaupade ja teenuste müügist</v>
      </c>
      <c r="P56" s="60" t="str">
        <f>VLOOKUP(Table15[[#This Row],[Tegevusala kood]],Table4[[Tegevusala kood]:[Tegevusala alanimetus]],4,FALSE)</f>
        <v>Eakate sotsiaalhoolekande asutused</v>
      </c>
      <c r="Q56" s="57"/>
      <c r="R56" s="57"/>
      <c r="S56" s="60">
        <f>Table15[[#This Row],[Summa]]+Table15[[#This Row],[I Muudatus]]+Table15[[#This Row],[II Muudatus]]</f>
        <v>0</v>
      </c>
    </row>
    <row r="57" spans="1:19" hidden="1" x14ac:dyDescent="0.25">
      <c r="A57" s="41" t="s">
        <v>1398</v>
      </c>
      <c r="B57" s="93">
        <v>680475</v>
      </c>
      <c r="C57" s="41">
        <v>3502</v>
      </c>
      <c r="D57" s="42" t="s">
        <v>914</v>
      </c>
      <c r="E57" s="42" t="s">
        <v>910</v>
      </c>
      <c r="F57" s="42" t="s">
        <v>911</v>
      </c>
      <c r="G57" s="42" t="s">
        <v>1</v>
      </c>
      <c r="H57" s="42" t="s">
        <v>1</v>
      </c>
      <c r="I57" s="42" t="s">
        <v>409</v>
      </c>
      <c r="J57" s="42" t="s">
        <v>408</v>
      </c>
      <c r="K57" s="41" t="s">
        <v>233</v>
      </c>
      <c r="L57" s="52" t="str">
        <f>VLOOKUP(Table15[[#This Row],[Tegevusala kood]],Table4[[Tegevusala kood]:[Tegevusala alanimetus]],2,FALSE)</f>
        <v>Vinni-Pajusti Raamatukogu</v>
      </c>
      <c r="M57" s="41" t="s">
        <v>912</v>
      </c>
      <c r="N57" s="41" t="s">
        <v>913</v>
      </c>
      <c r="O57" s="53" t="str">
        <f>VLOOKUP(Table15[[#This Row],[Eelarvekonto]],Table5[[Konto]:[Kontode alanimetus]],5,FALSE)</f>
        <v>Põhivara soetuseks saadav sihtfinantseerimine (+)</v>
      </c>
      <c r="P57" s="53" t="str">
        <f>VLOOKUP(Table15[[#This Row],[Tegevusala kood]],Table4[[Tegevusala kood]:[Tegevusala alanimetus]],4,FALSE)</f>
        <v>Raamatukogud</v>
      </c>
      <c r="Q57" s="42"/>
      <c r="R57" s="42"/>
      <c r="S57" s="53">
        <f>Table15[[#This Row],[Summa]]+Table15[[#This Row],[I Muudatus]]+Table15[[#This Row],[II Muudatus]]</f>
        <v>680475</v>
      </c>
    </row>
    <row r="58" spans="1:19" hidden="1" x14ac:dyDescent="0.25">
      <c r="A58" s="41" t="s">
        <v>1399</v>
      </c>
      <c r="B58" s="41">
        <v>47000</v>
      </c>
      <c r="C58" s="41">
        <v>3502</v>
      </c>
      <c r="D58" s="42" t="s">
        <v>914</v>
      </c>
      <c r="E58" s="42" t="s">
        <v>910</v>
      </c>
      <c r="F58" s="42" t="s">
        <v>911</v>
      </c>
      <c r="I58" s="42" t="s">
        <v>409</v>
      </c>
      <c r="J58" s="42" t="s">
        <v>408</v>
      </c>
      <c r="K58" s="41" t="s">
        <v>289</v>
      </c>
      <c r="L58" s="52" t="str">
        <f>VLOOKUP(Table15[[#This Row],[Tegevusala kood]],Table4[[Tegevusala kood]:[Tegevusala alanimetus]],2,FALSE)</f>
        <v>Laekvere Lasteaed</v>
      </c>
      <c r="M58" s="68" t="s">
        <v>912</v>
      </c>
      <c r="N58" s="68" t="s">
        <v>913</v>
      </c>
      <c r="O58" s="53" t="str">
        <f>VLOOKUP(Table15[[#This Row],[Eelarvekonto]],Table5[[Konto]:[Kontode alanimetus]],5,FALSE)</f>
        <v>Põhivara soetuseks saadav sihtfinantseerimine (+)</v>
      </c>
      <c r="P58" s="53" t="str">
        <f>VLOOKUP(Table15[[#This Row],[Tegevusala kood]],Table4[[Tegevusala kood]:[Tegevusala alanimetus]],4,FALSE)</f>
        <v>Alusharidus</v>
      </c>
      <c r="Q58" s="42"/>
      <c r="R58" s="42"/>
      <c r="S58" s="53">
        <f>Table15[[#This Row],[Summa]]+Table15[[#This Row],[I Muudatus]]+Table15[[#This Row],[II Muudatus]]</f>
        <v>47000</v>
      </c>
    </row>
    <row r="59" spans="1:19" ht="14.4" x14ac:dyDescent="0.3">
      <c r="A59" t="s">
        <v>1404</v>
      </c>
      <c r="B59" s="51">
        <f>SUBTOTAL(109,Table15[Summa])</f>
        <v>1405809.4100000001</v>
      </c>
      <c r="C59"/>
      <c r="D59"/>
      <c r="E59"/>
      <c r="F59"/>
      <c r="G59"/>
      <c r="H59"/>
      <c r="I59"/>
      <c r="J59"/>
      <c r="K59"/>
      <c r="L59"/>
      <c r="M59"/>
      <c r="N59"/>
      <c r="O59" s="118"/>
      <c r="P59" s="118">
        <f>SUBTOTAL(103,Table15[Tegevus alanimetus])</f>
        <v>9</v>
      </c>
      <c r="Q59"/>
      <c r="R59"/>
      <c r="S59">
        <f>SUBTOTAL(109,Table15[Eelarve peale muudatusi])</f>
        <v>1405809.4100000001</v>
      </c>
    </row>
  </sheetData>
  <pageMargins left="0.75" right="0.75" top="1" bottom="1" header="0.5" footer="0.5"/>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topLeftCell="A61" zoomScale="85" zoomScaleNormal="85" workbookViewId="0">
      <selection activeCell="C82" sqref="C82"/>
    </sheetView>
  </sheetViews>
  <sheetFormatPr defaultRowHeight="14.4" x14ac:dyDescent="0.3"/>
  <cols>
    <col min="1" max="2" width="14.88671875" customWidth="1"/>
    <col min="3" max="3" width="54.5546875" bestFit="1" customWidth="1"/>
    <col min="4" max="4" width="54.5546875" customWidth="1"/>
    <col min="5" max="5" width="21.5546875" bestFit="1" customWidth="1"/>
    <col min="6" max="6" width="22.44140625" bestFit="1" customWidth="1"/>
  </cols>
  <sheetData>
    <row r="1" spans="1:6" x14ac:dyDescent="0.3">
      <c r="A1" t="s">
        <v>788</v>
      </c>
      <c r="B1" t="s">
        <v>789</v>
      </c>
      <c r="C1" t="s">
        <v>780</v>
      </c>
      <c r="D1" t="s">
        <v>790</v>
      </c>
      <c r="E1" t="s">
        <v>781</v>
      </c>
      <c r="F1" t="s">
        <v>787</v>
      </c>
    </row>
    <row r="2" spans="1:6" x14ac:dyDescent="0.3">
      <c r="A2">
        <v>3000</v>
      </c>
      <c r="B2">
        <v>3000</v>
      </c>
      <c r="C2" t="s">
        <v>9</v>
      </c>
      <c r="D2" t="s">
        <v>8</v>
      </c>
      <c r="E2" t="s">
        <v>791</v>
      </c>
      <c r="F2" t="s">
        <v>9</v>
      </c>
    </row>
    <row r="3" spans="1:6" x14ac:dyDescent="0.3">
      <c r="A3">
        <v>3030</v>
      </c>
      <c r="B3">
        <v>3030</v>
      </c>
      <c r="C3" t="s">
        <v>10</v>
      </c>
      <c r="D3" t="s">
        <v>8</v>
      </c>
      <c r="E3" t="s">
        <v>791</v>
      </c>
      <c r="F3" t="s">
        <v>10</v>
      </c>
    </row>
    <row r="4" spans="1:6" x14ac:dyDescent="0.3">
      <c r="A4">
        <v>32</v>
      </c>
      <c r="B4">
        <v>320</v>
      </c>
      <c r="C4" t="s">
        <v>792</v>
      </c>
      <c r="D4" t="s">
        <v>12</v>
      </c>
      <c r="E4" t="s">
        <v>791</v>
      </c>
      <c r="F4" t="s">
        <v>12</v>
      </c>
    </row>
    <row r="5" spans="1:6" x14ac:dyDescent="0.3">
      <c r="A5">
        <v>32</v>
      </c>
      <c r="B5">
        <v>322</v>
      </c>
      <c r="C5" t="s">
        <v>793</v>
      </c>
      <c r="D5" t="s">
        <v>12</v>
      </c>
      <c r="E5" t="s">
        <v>791</v>
      </c>
      <c r="F5" t="s">
        <v>12</v>
      </c>
    </row>
    <row r="6" spans="1:6" x14ac:dyDescent="0.3">
      <c r="A6">
        <v>32</v>
      </c>
      <c r="B6">
        <v>3220</v>
      </c>
      <c r="C6" t="s">
        <v>794</v>
      </c>
      <c r="D6" t="s">
        <v>12</v>
      </c>
      <c r="E6" t="s">
        <v>791</v>
      </c>
      <c r="F6" t="s">
        <v>12</v>
      </c>
    </row>
    <row r="7" spans="1:6" x14ac:dyDescent="0.3">
      <c r="A7">
        <v>32</v>
      </c>
      <c r="B7">
        <v>32201</v>
      </c>
      <c r="C7" t="s">
        <v>795</v>
      </c>
      <c r="D7" t="s">
        <v>12</v>
      </c>
      <c r="E7" t="s">
        <v>791</v>
      </c>
      <c r="F7" t="s">
        <v>12</v>
      </c>
    </row>
    <row r="8" spans="1:6" x14ac:dyDescent="0.3">
      <c r="A8">
        <v>32</v>
      </c>
      <c r="B8">
        <v>322020</v>
      </c>
      <c r="C8" t="s">
        <v>796</v>
      </c>
      <c r="D8" t="s">
        <v>12</v>
      </c>
      <c r="E8" t="s">
        <v>791</v>
      </c>
      <c r="F8" t="s">
        <v>12</v>
      </c>
    </row>
    <row r="9" spans="1:6" x14ac:dyDescent="0.3">
      <c r="A9">
        <v>32</v>
      </c>
      <c r="B9">
        <v>322040</v>
      </c>
      <c r="C9" t="s">
        <v>932</v>
      </c>
      <c r="D9" t="s">
        <v>12</v>
      </c>
      <c r="E9" t="s">
        <v>791</v>
      </c>
      <c r="F9" t="s">
        <v>12</v>
      </c>
    </row>
    <row r="10" spans="1:6" x14ac:dyDescent="0.3">
      <c r="A10">
        <v>32</v>
      </c>
      <c r="B10">
        <v>32206</v>
      </c>
      <c r="C10" t="s">
        <v>797</v>
      </c>
      <c r="D10" t="s">
        <v>12</v>
      </c>
      <c r="E10" t="s">
        <v>791</v>
      </c>
      <c r="F10" t="s">
        <v>12</v>
      </c>
    </row>
    <row r="11" spans="1:6" x14ac:dyDescent="0.3">
      <c r="A11">
        <v>32</v>
      </c>
      <c r="B11">
        <v>3224</v>
      </c>
      <c r="C11" t="s">
        <v>798</v>
      </c>
      <c r="D11" t="s">
        <v>12</v>
      </c>
      <c r="E11" t="s">
        <v>791</v>
      </c>
      <c r="F11" t="s">
        <v>12</v>
      </c>
    </row>
    <row r="12" spans="1:6" x14ac:dyDescent="0.3">
      <c r="A12">
        <v>32</v>
      </c>
      <c r="B12">
        <v>3225</v>
      </c>
      <c r="C12" t="s">
        <v>799</v>
      </c>
      <c r="D12" t="s">
        <v>12</v>
      </c>
      <c r="E12" t="s">
        <v>791</v>
      </c>
      <c r="F12" t="s">
        <v>12</v>
      </c>
    </row>
    <row r="13" spans="1:6" x14ac:dyDescent="0.3">
      <c r="A13">
        <v>32</v>
      </c>
      <c r="B13">
        <v>3227</v>
      </c>
      <c r="C13" t="s">
        <v>800</v>
      </c>
      <c r="D13" t="s">
        <v>12</v>
      </c>
      <c r="E13" t="s">
        <v>791</v>
      </c>
      <c r="F13" t="s">
        <v>12</v>
      </c>
    </row>
    <row r="14" spans="1:6" x14ac:dyDescent="0.3">
      <c r="A14">
        <v>32</v>
      </c>
      <c r="B14">
        <v>3232</v>
      </c>
      <c r="C14" t="s">
        <v>801</v>
      </c>
      <c r="D14" t="s">
        <v>12</v>
      </c>
      <c r="E14" t="s">
        <v>791</v>
      </c>
      <c r="F14" t="s">
        <v>12</v>
      </c>
    </row>
    <row r="15" spans="1:6" x14ac:dyDescent="0.3">
      <c r="A15">
        <v>32</v>
      </c>
      <c r="B15">
        <v>3233</v>
      </c>
      <c r="C15" t="s">
        <v>802</v>
      </c>
      <c r="D15" t="s">
        <v>12</v>
      </c>
      <c r="E15" t="s">
        <v>791</v>
      </c>
      <c r="F15" t="s">
        <v>12</v>
      </c>
    </row>
    <row r="16" spans="1:6" x14ac:dyDescent="0.3">
      <c r="A16">
        <v>35200</v>
      </c>
      <c r="B16">
        <v>352001</v>
      </c>
      <c r="C16" t="s">
        <v>14</v>
      </c>
      <c r="D16" t="s">
        <v>803</v>
      </c>
      <c r="E16" t="s">
        <v>791</v>
      </c>
      <c r="F16" t="s">
        <v>14</v>
      </c>
    </row>
    <row r="17" spans="1:6" x14ac:dyDescent="0.3">
      <c r="A17">
        <v>35201</v>
      </c>
      <c r="B17">
        <v>352000</v>
      </c>
      <c r="C17" t="s">
        <v>15</v>
      </c>
      <c r="D17" t="s">
        <v>803</v>
      </c>
      <c r="E17" t="s">
        <v>791</v>
      </c>
      <c r="F17" t="s">
        <v>15</v>
      </c>
    </row>
    <row r="18" spans="1:6" x14ac:dyDescent="0.3">
      <c r="A18">
        <v>3500</v>
      </c>
      <c r="B18">
        <v>3500</v>
      </c>
      <c r="C18" t="s">
        <v>804</v>
      </c>
      <c r="D18" t="s">
        <v>16</v>
      </c>
      <c r="E18" t="s">
        <v>791</v>
      </c>
      <c r="F18" t="s">
        <v>16</v>
      </c>
    </row>
    <row r="19" spans="1:6" x14ac:dyDescent="0.3">
      <c r="A19">
        <v>352</v>
      </c>
      <c r="B19">
        <v>352</v>
      </c>
      <c r="C19" t="s">
        <v>28</v>
      </c>
      <c r="D19" t="s">
        <v>16</v>
      </c>
      <c r="E19" t="s">
        <v>791</v>
      </c>
      <c r="F19" t="s">
        <v>16</v>
      </c>
    </row>
    <row r="20" spans="1:6" x14ac:dyDescent="0.3">
      <c r="A20">
        <v>352</v>
      </c>
      <c r="B20">
        <v>3520</v>
      </c>
      <c r="C20" t="s">
        <v>805</v>
      </c>
      <c r="D20" t="s">
        <v>16</v>
      </c>
      <c r="E20" t="s">
        <v>791</v>
      </c>
      <c r="F20" t="s">
        <v>16</v>
      </c>
    </row>
    <row r="21" spans="1:6" x14ac:dyDescent="0.3">
      <c r="A21">
        <v>38251</v>
      </c>
      <c r="B21">
        <v>382510</v>
      </c>
      <c r="C21" t="s">
        <v>19</v>
      </c>
      <c r="D21" t="s">
        <v>18</v>
      </c>
      <c r="E21" t="s">
        <v>791</v>
      </c>
      <c r="F21" t="s">
        <v>19</v>
      </c>
    </row>
    <row r="22" spans="1:6" x14ac:dyDescent="0.3">
      <c r="A22">
        <v>38254</v>
      </c>
      <c r="B22">
        <v>382540</v>
      </c>
      <c r="C22" t="s">
        <v>806</v>
      </c>
      <c r="D22" t="s">
        <v>18</v>
      </c>
      <c r="E22" t="s">
        <v>791</v>
      </c>
      <c r="F22" t="s">
        <v>20</v>
      </c>
    </row>
    <row r="23" spans="1:6" x14ac:dyDescent="0.3">
      <c r="A23">
        <v>3882</v>
      </c>
      <c r="B23">
        <v>3882</v>
      </c>
      <c r="C23" t="s">
        <v>807</v>
      </c>
      <c r="D23" t="s">
        <v>18</v>
      </c>
      <c r="E23" t="s">
        <v>791</v>
      </c>
      <c r="F23" t="s">
        <v>21</v>
      </c>
    </row>
    <row r="24" spans="1:6" x14ac:dyDescent="0.3">
      <c r="A24">
        <v>413</v>
      </c>
      <c r="B24">
        <v>413</v>
      </c>
      <c r="C24" t="s">
        <v>808</v>
      </c>
      <c r="D24" t="s">
        <v>809</v>
      </c>
      <c r="E24" t="s">
        <v>810</v>
      </c>
      <c r="F24" t="s">
        <v>26</v>
      </c>
    </row>
    <row r="25" spans="1:6" x14ac:dyDescent="0.3">
      <c r="A25">
        <v>413</v>
      </c>
      <c r="B25">
        <v>4130</v>
      </c>
      <c r="C25" t="s">
        <v>808</v>
      </c>
      <c r="D25" t="s">
        <v>809</v>
      </c>
      <c r="E25" t="s">
        <v>810</v>
      </c>
      <c r="F25" t="s">
        <v>26</v>
      </c>
    </row>
    <row r="26" spans="1:6" ht="15.75" customHeight="1" x14ac:dyDescent="0.3">
      <c r="A26">
        <v>413</v>
      </c>
      <c r="B26">
        <v>41300</v>
      </c>
      <c r="C26" t="s">
        <v>632</v>
      </c>
      <c r="D26" t="s">
        <v>809</v>
      </c>
      <c r="E26" t="s">
        <v>810</v>
      </c>
      <c r="F26" t="s">
        <v>26</v>
      </c>
    </row>
    <row r="27" spans="1:6" ht="15.75" customHeight="1" x14ac:dyDescent="0.3">
      <c r="A27">
        <v>413</v>
      </c>
      <c r="B27">
        <v>41309</v>
      </c>
      <c r="C27" t="s">
        <v>811</v>
      </c>
      <c r="D27" t="s">
        <v>809</v>
      </c>
      <c r="E27" t="s">
        <v>810</v>
      </c>
      <c r="F27" t="s">
        <v>26</v>
      </c>
    </row>
    <row r="28" spans="1:6" ht="15.75" customHeight="1" x14ac:dyDescent="0.3">
      <c r="A28">
        <v>413</v>
      </c>
      <c r="B28">
        <v>4131</v>
      </c>
      <c r="C28" t="s">
        <v>624</v>
      </c>
      <c r="D28" t="s">
        <v>809</v>
      </c>
      <c r="E28" t="s">
        <v>810</v>
      </c>
      <c r="F28" t="s">
        <v>26</v>
      </c>
    </row>
    <row r="29" spans="1:6" ht="15.75" customHeight="1" x14ac:dyDescent="0.3">
      <c r="A29">
        <v>413</v>
      </c>
      <c r="B29">
        <v>413100</v>
      </c>
      <c r="C29" t="s">
        <v>624</v>
      </c>
      <c r="D29" t="s">
        <v>809</v>
      </c>
      <c r="E29" t="s">
        <v>810</v>
      </c>
      <c r="F29" t="s">
        <v>26</v>
      </c>
    </row>
    <row r="30" spans="1:6" ht="15.75" customHeight="1" x14ac:dyDescent="0.3">
      <c r="A30">
        <v>413</v>
      </c>
      <c r="B30">
        <v>4132</v>
      </c>
      <c r="C30" t="s">
        <v>376</v>
      </c>
      <c r="D30" t="s">
        <v>809</v>
      </c>
      <c r="E30" t="s">
        <v>810</v>
      </c>
      <c r="F30" t="s">
        <v>26</v>
      </c>
    </row>
    <row r="31" spans="1:6" ht="15.75" customHeight="1" x14ac:dyDescent="0.3">
      <c r="A31">
        <v>413</v>
      </c>
      <c r="B31">
        <v>41329</v>
      </c>
      <c r="C31" t="s">
        <v>812</v>
      </c>
      <c r="D31" t="s">
        <v>809</v>
      </c>
      <c r="E31" t="s">
        <v>810</v>
      </c>
      <c r="F31" t="s">
        <v>26</v>
      </c>
    </row>
    <row r="32" spans="1:6" ht="15.75" customHeight="1" x14ac:dyDescent="0.3">
      <c r="A32">
        <v>413</v>
      </c>
      <c r="B32">
        <v>4133</v>
      </c>
      <c r="C32" t="s">
        <v>396</v>
      </c>
      <c r="D32" t="s">
        <v>809</v>
      </c>
      <c r="E32" t="s">
        <v>810</v>
      </c>
      <c r="F32" t="s">
        <v>26</v>
      </c>
    </row>
    <row r="33" spans="1:6" ht="15.75" customHeight="1" x14ac:dyDescent="0.3">
      <c r="A33">
        <v>413</v>
      </c>
      <c r="B33">
        <v>41330</v>
      </c>
      <c r="C33" t="s">
        <v>813</v>
      </c>
      <c r="D33" t="s">
        <v>809</v>
      </c>
      <c r="E33" t="s">
        <v>810</v>
      </c>
      <c r="F33" t="s">
        <v>26</v>
      </c>
    </row>
    <row r="34" spans="1:6" ht="15.75" customHeight="1" x14ac:dyDescent="0.3">
      <c r="A34">
        <v>413</v>
      </c>
      <c r="B34">
        <v>41332</v>
      </c>
      <c r="C34" t="s">
        <v>814</v>
      </c>
      <c r="D34" t="s">
        <v>809</v>
      </c>
      <c r="E34" t="s">
        <v>810</v>
      </c>
      <c r="F34" t="s">
        <v>26</v>
      </c>
    </row>
    <row r="35" spans="1:6" ht="15.75" customHeight="1" x14ac:dyDescent="0.3">
      <c r="A35">
        <v>413</v>
      </c>
      <c r="B35">
        <v>41334</v>
      </c>
      <c r="C35" t="s">
        <v>399</v>
      </c>
      <c r="D35" t="s">
        <v>809</v>
      </c>
      <c r="E35" t="s">
        <v>810</v>
      </c>
      <c r="F35" t="s">
        <v>26</v>
      </c>
    </row>
    <row r="36" spans="1:6" ht="15.75" customHeight="1" x14ac:dyDescent="0.3">
      <c r="A36" s="43">
        <v>413</v>
      </c>
      <c r="B36" s="43">
        <v>41337</v>
      </c>
      <c r="C36" s="43" t="s">
        <v>815</v>
      </c>
      <c r="D36" s="43" t="s">
        <v>809</v>
      </c>
      <c r="E36" s="43" t="s">
        <v>810</v>
      </c>
      <c r="F36" t="s">
        <v>26</v>
      </c>
    </row>
    <row r="37" spans="1:6" ht="15.75" customHeight="1" x14ac:dyDescent="0.3">
      <c r="A37">
        <v>413</v>
      </c>
      <c r="B37">
        <v>41339</v>
      </c>
      <c r="C37" t="s">
        <v>816</v>
      </c>
      <c r="D37" t="s">
        <v>809</v>
      </c>
      <c r="E37" t="s">
        <v>810</v>
      </c>
      <c r="F37" t="s">
        <v>26</v>
      </c>
    </row>
    <row r="38" spans="1:6" ht="15.75" customHeight="1" x14ac:dyDescent="0.3">
      <c r="A38">
        <v>413</v>
      </c>
      <c r="B38">
        <v>4134</v>
      </c>
      <c r="C38" t="s">
        <v>712</v>
      </c>
      <c r="D38" t="s">
        <v>809</v>
      </c>
      <c r="E38" t="s">
        <v>810</v>
      </c>
      <c r="F38" t="s">
        <v>26</v>
      </c>
    </row>
    <row r="39" spans="1:6" ht="15.75" customHeight="1" x14ac:dyDescent="0.3">
      <c r="A39">
        <v>413</v>
      </c>
      <c r="B39">
        <v>4137</v>
      </c>
      <c r="C39" t="s">
        <v>668</v>
      </c>
      <c r="D39" t="s">
        <v>809</v>
      </c>
      <c r="E39" t="s">
        <v>810</v>
      </c>
      <c r="F39" t="s">
        <v>26</v>
      </c>
    </row>
    <row r="40" spans="1:6" ht="15.75" customHeight="1" x14ac:dyDescent="0.3">
      <c r="A40">
        <v>413</v>
      </c>
      <c r="B40">
        <v>4138</v>
      </c>
      <c r="C40" t="s">
        <v>1164</v>
      </c>
      <c r="D40" t="s">
        <v>809</v>
      </c>
      <c r="E40" t="s">
        <v>810</v>
      </c>
      <c r="F40" t="s">
        <v>26</v>
      </c>
    </row>
    <row r="41" spans="1:6" ht="15.75" customHeight="1" x14ac:dyDescent="0.3">
      <c r="A41">
        <v>413</v>
      </c>
      <c r="B41">
        <v>41380</v>
      </c>
      <c r="C41" t="s">
        <v>817</v>
      </c>
      <c r="D41" t="s">
        <v>809</v>
      </c>
      <c r="E41" t="s">
        <v>810</v>
      </c>
      <c r="F41" t="s">
        <v>26</v>
      </c>
    </row>
    <row r="42" spans="1:6" x14ac:dyDescent="0.3">
      <c r="A42">
        <v>413</v>
      </c>
      <c r="B42">
        <v>41382</v>
      </c>
      <c r="C42" t="s">
        <v>818</v>
      </c>
      <c r="D42" t="s">
        <v>809</v>
      </c>
      <c r="E42" t="s">
        <v>810</v>
      </c>
      <c r="F42" t="s">
        <v>26</v>
      </c>
    </row>
    <row r="43" spans="1:6" x14ac:dyDescent="0.3">
      <c r="A43" s="43">
        <v>413</v>
      </c>
      <c r="B43" s="43">
        <v>41389</v>
      </c>
      <c r="C43" s="43" t="s">
        <v>382</v>
      </c>
      <c r="D43" s="43" t="s">
        <v>809</v>
      </c>
      <c r="E43" s="43" t="s">
        <v>810</v>
      </c>
      <c r="F43" t="s">
        <v>26</v>
      </c>
    </row>
    <row r="44" spans="1:6" x14ac:dyDescent="0.3">
      <c r="A44" s="43">
        <v>413</v>
      </c>
      <c r="B44" s="43">
        <v>413899</v>
      </c>
      <c r="C44" s="43" t="s">
        <v>819</v>
      </c>
      <c r="D44" s="43" t="s">
        <v>809</v>
      </c>
      <c r="E44" s="43" t="s">
        <v>810</v>
      </c>
      <c r="F44" t="s">
        <v>26</v>
      </c>
    </row>
    <row r="45" spans="1:6" x14ac:dyDescent="0.3">
      <c r="A45">
        <v>4500</v>
      </c>
      <c r="B45">
        <v>4500</v>
      </c>
      <c r="C45" t="s">
        <v>216</v>
      </c>
      <c r="D45" t="s">
        <v>809</v>
      </c>
      <c r="E45" t="s">
        <v>810</v>
      </c>
      <c r="F45" t="s">
        <v>27</v>
      </c>
    </row>
    <row r="46" spans="1:6" x14ac:dyDescent="0.3">
      <c r="A46">
        <v>4500</v>
      </c>
      <c r="B46">
        <v>45008</v>
      </c>
      <c r="C46" t="s">
        <v>820</v>
      </c>
      <c r="D46" t="s">
        <v>809</v>
      </c>
      <c r="E46" t="s">
        <v>810</v>
      </c>
      <c r="F46" t="s">
        <v>27</v>
      </c>
    </row>
    <row r="47" spans="1:6" x14ac:dyDescent="0.3">
      <c r="A47">
        <v>452</v>
      </c>
      <c r="B47">
        <v>4528</v>
      </c>
      <c r="C47" t="s">
        <v>554</v>
      </c>
      <c r="D47" t="s">
        <v>809</v>
      </c>
      <c r="E47" t="s">
        <v>810</v>
      </c>
      <c r="F47" t="s">
        <v>28</v>
      </c>
    </row>
    <row r="48" spans="1:6" x14ac:dyDescent="0.3">
      <c r="A48">
        <v>50</v>
      </c>
      <c r="B48">
        <v>500</v>
      </c>
      <c r="C48" t="s">
        <v>821</v>
      </c>
      <c r="D48" t="s">
        <v>30</v>
      </c>
      <c r="E48" t="s">
        <v>810</v>
      </c>
      <c r="F48" t="s">
        <v>31</v>
      </c>
    </row>
    <row r="49" spans="1:6" x14ac:dyDescent="0.3">
      <c r="A49">
        <v>50</v>
      </c>
      <c r="B49">
        <v>5000</v>
      </c>
      <c r="C49" t="s">
        <v>755</v>
      </c>
      <c r="D49" t="s">
        <v>30</v>
      </c>
      <c r="E49" t="s">
        <v>810</v>
      </c>
      <c r="F49" t="s">
        <v>31</v>
      </c>
    </row>
    <row r="50" spans="1:6" x14ac:dyDescent="0.3">
      <c r="A50">
        <v>50</v>
      </c>
      <c r="B50">
        <v>5001</v>
      </c>
      <c r="C50" t="s">
        <v>822</v>
      </c>
      <c r="D50" t="s">
        <v>30</v>
      </c>
      <c r="E50" t="s">
        <v>810</v>
      </c>
      <c r="F50" t="s">
        <v>31</v>
      </c>
    </row>
    <row r="51" spans="1:6" x14ac:dyDescent="0.3">
      <c r="A51">
        <v>50</v>
      </c>
      <c r="B51">
        <v>5002</v>
      </c>
      <c r="C51" t="s">
        <v>823</v>
      </c>
      <c r="D51" t="s">
        <v>30</v>
      </c>
      <c r="E51" t="s">
        <v>810</v>
      </c>
      <c r="F51" t="s">
        <v>31</v>
      </c>
    </row>
    <row r="52" spans="1:6" x14ac:dyDescent="0.3">
      <c r="A52">
        <v>50</v>
      </c>
      <c r="B52">
        <v>5005</v>
      </c>
      <c r="C52" t="s">
        <v>824</v>
      </c>
      <c r="D52" t="s">
        <v>30</v>
      </c>
      <c r="E52" t="s">
        <v>810</v>
      </c>
      <c r="F52" t="s">
        <v>31</v>
      </c>
    </row>
    <row r="53" spans="1:6" x14ac:dyDescent="0.3">
      <c r="A53">
        <v>50</v>
      </c>
      <c r="B53">
        <v>5008</v>
      </c>
      <c r="C53" t="s">
        <v>580</v>
      </c>
      <c r="D53" t="s">
        <v>30</v>
      </c>
      <c r="E53" t="s">
        <v>810</v>
      </c>
      <c r="F53" t="s">
        <v>31</v>
      </c>
    </row>
    <row r="54" spans="1:6" x14ac:dyDescent="0.3">
      <c r="A54">
        <v>50</v>
      </c>
      <c r="B54">
        <v>506</v>
      </c>
      <c r="C54" t="s">
        <v>825</v>
      </c>
      <c r="D54" t="s">
        <v>30</v>
      </c>
      <c r="E54" t="s">
        <v>810</v>
      </c>
      <c r="F54" t="s">
        <v>31</v>
      </c>
    </row>
    <row r="55" spans="1:6" x14ac:dyDescent="0.3">
      <c r="A55">
        <v>55</v>
      </c>
      <c r="B55">
        <v>5500</v>
      </c>
      <c r="C55" t="s">
        <v>144</v>
      </c>
      <c r="D55" t="s">
        <v>30</v>
      </c>
      <c r="E55" t="s">
        <v>810</v>
      </c>
      <c r="F55" t="s">
        <v>32</v>
      </c>
    </row>
    <row r="56" spans="1:6" x14ac:dyDescent="0.3">
      <c r="A56">
        <v>55</v>
      </c>
      <c r="B56">
        <v>5502</v>
      </c>
      <c r="C56" t="s">
        <v>752</v>
      </c>
      <c r="D56" t="s">
        <v>30</v>
      </c>
      <c r="E56" t="s">
        <v>810</v>
      </c>
      <c r="F56" t="s">
        <v>32</v>
      </c>
    </row>
    <row r="57" spans="1:6" x14ac:dyDescent="0.3">
      <c r="A57">
        <v>55</v>
      </c>
      <c r="B57">
        <v>5503</v>
      </c>
      <c r="C57" t="s">
        <v>453</v>
      </c>
      <c r="D57" t="s">
        <v>30</v>
      </c>
      <c r="E57" t="s">
        <v>810</v>
      </c>
      <c r="F57" t="s">
        <v>32</v>
      </c>
    </row>
    <row r="58" spans="1:6" x14ac:dyDescent="0.3">
      <c r="A58">
        <v>55</v>
      </c>
      <c r="B58">
        <v>5504</v>
      </c>
      <c r="C58" t="s">
        <v>140</v>
      </c>
      <c r="D58" t="s">
        <v>30</v>
      </c>
      <c r="E58" t="s">
        <v>810</v>
      </c>
      <c r="F58" t="s">
        <v>32</v>
      </c>
    </row>
    <row r="59" spans="1:6" x14ac:dyDescent="0.3">
      <c r="A59">
        <v>55</v>
      </c>
      <c r="B59">
        <v>5511</v>
      </c>
      <c r="C59" t="s">
        <v>142</v>
      </c>
      <c r="D59" t="s">
        <v>30</v>
      </c>
      <c r="E59" t="s">
        <v>810</v>
      </c>
      <c r="F59" t="s">
        <v>32</v>
      </c>
    </row>
    <row r="60" spans="1:6" x14ac:dyDescent="0.3">
      <c r="A60">
        <v>55</v>
      </c>
      <c r="B60">
        <v>551100</v>
      </c>
      <c r="C60" t="s">
        <v>148</v>
      </c>
      <c r="D60" t="s">
        <v>30</v>
      </c>
      <c r="E60" t="s">
        <v>810</v>
      </c>
      <c r="F60" t="s">
        <v>32</v>
      </c>
    </row>
    <row r="61" spans="1:6" x14ac:dyDescent="0.3">
      <c r="A61">
        <v>55</v>
      </c>
      <c r="B61">
        <v>551101</v>
      </c>
      <c r="C61" t="s">
        <v>149</v>
      </c>
      <c r="D61" t="s">
        <v>30</v>
      </c>
      <c r="E61" t="s">
        <v>810</v>
      </c>
      <c r="F61" t="s">
        <v>32</v>
      </c>
    </row>
    <row r="62" spans="1:6" x14ac:dyDescent="0.3">
      <c r="A62">
        <v>55</v>
      </c>
      <c r="B62">
        <v>551102</v>
      </c>
      <c r="C62" t="s">
        <v>150</v>
      </c>
      <c r="D62" t="s">
        <v>30</v>
      </c>
      <c r="E62" t="s">
        <v>810</v>
      </c>
      <c r="F62" t="s">
        <v>32</v>
      </c>
    </row>
    <row r="63" spans="1:6" x14ac:dyDescent="0.3">
      <c r="A63">
        <v>55</v>
      </c>
      <c r="B63">
        <v>551107</v>
      </c>
      <c r="C63" t="s">
        <v>748</v>
      </c>
      <c r="D63" t="s">
        <v>30</v>
      </c>
      <c r="E63" t="s">
        <v>810</v>
      </c>
      <c r="F63" t="s">
        <v>32</v>
      </c>
    </row>
    <row r="64" spans="1:6" x14ac:dyDescent="0.3">
      <c r="A64">
        <v>55</v>
      </c>
      <c r="B64">
        <v>5512</v>
      </c>
      <c r="C64" t="s">
        <v>424</v>
      </c>
      <c r="D64" t="s">
        <v>30</v>
      </c>
      <c r="E64" t="s">
        <v>810</v>
      </c>
      <c r="F64" t="s">
        <v>32</v>
      </c>
    </row>
    <row r="65" spans="1:6" x14ac:dyDescent="0.3">
      <c r="A65">
        <v>55</v>
      </c>
      <c r="B65">
        <v>5513</v>
      </c>
      <c r="C65" t="s">
        <v>826</v>
      </c>
      <c r="D65" t="s">
        <v>30</v>
      </c>
      <c r="E65" t="s">
        <v>810</v>
      </c>
      <c r="F65" t="s">
        <v>32</v>
      </c>
    </row>
    <row r="66" spans="1:6" x14ac:dyDescent="0.3">
      <c r="A66">
        <v>55</v>
      </c>
      <c r="B66">
        <v>551300</v>
      </c>
      <c r="C66" t="s">
        <v>253</v>
      </c>
      <c r="D66" t="s">
        <v>30</v>
      </c>
      <c r="E66" t="s">
        <v>810</v>
      </c>
      <c r="F66" t="s">
        <v>32</v>
      </c>
    </row>
    <row r="67" spans="1:6" x14ac:dyDescent="0.3">
      <c r="A67">
        <v>55</v>
      </c>
      <c r="B67">
        <v>551307</v>
      </c>
      <c r="C67" t="s">
        <v>254</v>
      </c>
      <c r="D67" t="s">
        <v>30</v>
      </c>
      <c r="E67" t="s">
        <v>810</v>
      </c>
      <c r="F67" t="s">
        <v>32</v>
      </c>
    </row>
    <row r="68" spans="1:6" x14ac:dyDescent="0.3">
      <c r="A68">
        <v>55</v>
      </c>
      <c r="B68">
        <v>551308</v>
      </c>
      <c r="C68" t="s">
        <v>888</v>
      </c>
      <c r="D68" t="s">
        <v>30</v>
      </c>
      <c r="E68" t="s">
        <v>810</v>
      </c>
      <c r="F68" t="s">
        <v>32</v>
      </c>
    </row>
    <row r="69" spans="1:6" x14ac:dyDescent="0.3">
      <c r="A69">
        <v>55</v>
      </c>
      <c r="B69">
        <v>5513081</v>
      </c>
      <c r="C69" t="s">
        <v>889</v>
      </c>
      <c r="D69" t="s">
        <v>30</v>
      </c>
      <c r="E69" t="s">
        <v>810</v>
      </c>
      <c r="F69" t="s">
        <v>32</v>
      </c>
    </row>
    <row r="70" spans="1:6" x14ac:dyDescent="0.3">
      <c r="A70">
        <v>55</v>
      </c>
      <c r="B70">
        <v>5514</v>
      </c>
      <c r="C70" t="s">
        <v>1163</v>
      </c>
      <c r="D70" t="s">
        <v>30</v>
      </c>
      <c r="E70" t="s">
        <v>810</v>
      </c>
      <c r="F70" t="s">
        <v>32</v>
      </c>
    </row>
    <row r="71" spans="1:6" x14ac:dyDescent="0.3">
      <c r="A71">
        <v>55</v>
      </c>
      <c r="B71">
        <v>5515</v>
      </c>
      <c r="C71" t="s">
        <v>161</v>
      </c>
      <c r="D71" t="s">
        <v>30</v>
      </c>
      <c r="E71" t="s">
        <v>810</v>
      </c>
      <c r="F71" t="s">
        <v>32</v>
      </c>
    </row>
    <row r="72" spans="1:6" x14ac:dyDescent="0.3">
      <c r="A72">
        <v>55</v>
      </c>
      <c r="B72">
        <v>5516</v>
      </c>
      <c r="C72" t="s">
        <v>827</v>
      </c>
      <c r="D72" t="s">
        <v>30</v>
      </c>
      <c r="E72" t="s">
        <v>810</v>
      </c>
      <c r="F72" t="s">
        <v>32</v>
      </c>
    </row>
    <row r="73" spans="1:6" x14ac:dyDescent="0.3">
      <c r="A73">
        <v>55</v>
      </c>
      <c r="B73">
        <v>5521</v>
      </c>
      <c r="C73" t="s">
        <v>160</v>
      </c>
      <c r="D73" t="s">
        <v>30</v>
      </c>
      <c r="E73" t="s">
        <v>810</v>
      </c>
      <c r="F73" t="s">
        <v>32</v>
      </c>
    </row>
    <row r="74" spans="1:6" x14ac:dyDescent="0.3">
      <c r="A74">
        <v>55</v>
      </c>
      <c r="B74">
        <v>5522</v>
      </c>
      <c r="C74" t="s">
        <v>151</v>
      </c>
      <c r="D74" t="s">
        <v>30</v>
      </c>
      <c r="E74" t="s">
        <v>810</v>
      </c>
      <c r="F74" t="s">
        <v>32</v>
      </c>
    </row>
    <row r="75" spans="1:6" x14ac:dyDescent="0.3">
      <c r="A75">
        <v>55</v>
      </c>
      <c r="B75">
        <v>5523</v>
      </c>
      <c r="C75" t="s">
        <v>232</v>
      </c>
      <c r="D75" t="s">
        <v>30</v>
      </c>
      <c r="E75" t="s">
        <v>810</v>
      </c>
      <c r="F75" t="s">
        <v>32</v>
      </c>
    </row>
    <row r="76" spans="1:6" x14ac:dyDescent="0.3">
      <c r="A76">
        <v>55</v>
      </c>
      <c r="B76">
        <v>5524</v>
      </c>
      <c r="C76" t="s">
        <v>255</v>
      </c>
      <c r="D76" t="s">
        <v>30</v>
      </c>
      <c r="E76" t="s">
        <v>810</v>
      </c>
      <c r="F76" t="s">
        <v>32</v>
      </c>
    </row>
    <row r="77" spans="1:6" x14ac:dyDescent="0.3">
      <c r="A77">
        <v>55</v>
      </c>
      <c r="B77">
        <v>5525</v>
      </c>
      <c r="C77" t="s">
        <v>141</v>
      </c>
      <c r="D77" t="s">
        <v>30</v>
      </c>
      <c r="E77" t="s">
        <v>810</v>
      </c>
      <c r="F77" t="s">
        <v>32</v>
      </c>
    </row>
    <row r="78" spans="1:6" x14ac:dyDescent="0.3">
      <c r="A78">
        <v>55</v>
      </c>
      <c r="B78">
        <v>5526</v>
      </c>
      <c r="C78" t="s">
        <v>152</v>
      </c>
      <c r="D78" t="s">
        <v>30</v>
      </c>
      <c r="E78" t="s">
        <v>810</v>
      </c>
      <c r="F78" t="s">
        <v>32</v>
      </c>
    </row>
    <row r="79" spans="1:6" x14ac:dyDescent="0.3">
      <c r="A79">
        <v>55</v>
      </c>
      <c r="B79">
        <v>5532</v>
      </c>
      <c r="C79" t="s">
        <v>153</v>
      </c>
      <c r="D79" t="s">
        <v>30</v>
      </c>
      <c r="E79" t="s">
        <v>810</v>
      </c>
      <c r="F79" t="s">
        <v>32</v>
      </c>
    </row>
    <row r="80" spans="1:6" x14ac:dyDescent="0.3">
      <c r="A80">
        <v>55</v>
      </c>
      <c r="B80">
        <v>5540</v>
      </c>
      <c r="C80" t="s">
        <v>178</v>
      </c>
      <c r="D80" t="s">
        <v>30</v>
      </c>
      <c r="E80" t="s">
        <v>810</v>
      </c>
      <c r="F80" t="s">
        <v>32</v>
      </c>
    </row>
    <row r="81" spans="1:6" x14ac:dyDescent="0.3">
      <c r="A81">
        <v>60</v>
      </c>
      <c r="B81">
        <v>601</v>
      </c>
      <c r="C81" t="s">
        <v>454</v>
      </c>
      <c r="D81" t="s">
        <v>30</v>
      </c>
      <c r="E81" t="s">
        <v>810</v>
      </c>
      <c r="F81" t="s">
        <v>33</v>
      </c>
    </row>
    <row r="82" spans="1:6" x14ac:dyDescent="0.3">
      <c r="A82">
        <v>60</v>
      </c>
      <c r="B82">
        <v>608</v>
      </c>
      <c r="C82" t="s">
        <v>30</v>
      </c>
      <c r="D82" t="s">
        <v>30</v>
      </c>
      <c r="E82" t="s">
        <v>810</v>
      </c>
      <c r="F82" t="s">
        <v>33</v>
      </c>
    </row>
    <row r="83" spans="1:6" x14ac:dyDescent="0.3">
      <c r="A83">
        <v>381</v>
      </c>
      <c r="B83">
        <v>3810</v>
      </c>
      <c r="C83" t="s">
        <v>829</v>
      </c>
      <c r="D83" t="s">
        <v>38</v>
      </c>
      <c r="E83" t="s">
        <v>37</v>
      </c>
      <c r="F83" t="s">
        <v>38</v>
      </c>
    </row>
    <row r="84" spans="1:6" x14ac:dyDescent="0.3">
      <c r="A84">
        <v>381</v>
      </c>
      <c r="B84">
        <v>3811</v>
      </c>
      <c r="C84" t="s">
        <v>830</v>
      </c>
      <c r="D84" t="s">
        <v>38</v>
      </c>
      <c r="E84" t="s">
        <v>37</v>
      </c>
      <c r="F84" t="s">
        <v>38</v>
      </c>
    </row>
    <row r="85" spans="1:6" x14ac:dyDescent="0.3">
      <c r="A85">
        <v>381</v>
      </c>
      <c r="B85">
        <v>3812</v>
      </c>
      <c r="C85" t="s">
        <v>831</v>
      </c>
      <c r="D85" t="s">
        <v>38</v>
      </c>
      <c r="E85" t="s">
        <v>37</v>
      </c>
      <c r="F85" t="s">
        <v>38</v>
      </c>
    </row>
    <row r="86" spans="1:6" x14ac:dyDescent="0.3">
      <c r="A86">
        <v>15</v>
      </c>
      <c r="B86">
        <v>1502</v>
      </c>
      <c r="C86" t="s">
        <v>997</v>
      </c>
      <c r="D86" t="s">
        <v>998</v>
      </c>
      <c r="E86" t="s">
        <v>37</v>
      </c>
      <c r="F86" t="s">
        <v>998</v>
      </c>
    </row>
    <row r="87" spans="1:6" x14ac:dyDescent="0.3">
      <c r="A87">
        <v>15</v>
      </c>
      <c r="B87">
        <v>1550</v>
      </c>
      <c r="C87" t="s">
        <v>832</v>
      </c>
      <c r="D87" t="s">
        <v>39</v>
      </c>
      <c r="E87" t="s">
        <v>37</v>
      </c>
      <c r="F87" t="s">
        <v>39</v>
      </c>
    </row>
    <row r="88" spans="1:6" x14ac:dyDescent="0.3">
      <c r="A88">
        <v>15</v>
      </c>
      <c r="B88">
        <v>1501</v>
      </c>
      <c r="C88" t="s">
        <v>997</v>
      </c>
      <c r="D88" t="s">
        <v>998</v>
      </c>
      <c r="E88" t="s">
        <v>37</v>
      </c>
      <c r="F88" t="s">
        <v>998</v>
      </c>
    </row>
    <row r="89" spans="1:6" x14ac:dyDescent="0.3">
      <c r="A89">
        <v>15</v>
      </c>
      <c r="B89">
        <v>1551</v>
      </c>
      <c r="C89" t="s">
        <v>890</v>
      </c>
      <c r="D89" t="s">
        <v>39</v>
      </c>
      <c r="E89" t="s">
        <v>37</v>
      </c>
      <c r="F89" t="s">
        <v>39</v>
      </c>
    </row>
    <row r="90" spans="1:6" x14ac:dyDescent="0.3">
      <c r="A90">
        <v>15</v>
      </c>
      <c r="B90">
        <v>1554</v>
      </c>
      <c r="C90" t="s">
        <v>833</v>
      </c>
      <c r="D90" t="s">
        <v>39</v>
      </c>
      <c r="E90" t="s">
        <v>37</v>
      </c>
      <c r="F90" t="s">
        <v>39</v>
      </c>
    </row>
    <row r="91" spans="1:6" x14ac:dyDescent="0.3">
      <c r="A91">
        <v>15</v>
      </c>
      <c r="B91">
        <v>1555</v>
      </c>
      <c r="C91" t="s">
        <v>834</v>
      </c>
      <c r="D91" t="s">
        <v>39</v>
      </c>
      <c r="E91" t="s">
        <v>37</v>
      </c>
      <c r="F91" t="s">
        <v>39</v>
      </c>
    </row>
    <row r="92" spans="1:6" x14ac:dyDescent="0.3">
      <c r="A92">
        <v>15</v>
      </c>
      <c r="B92">
        <v>1556</v>
      </c>
      <c r="C92" t="s">
        <v>835</v>
      </c>
      <c r="D92" t="s">
        <v>39</v>
      </c>
      <c r="E92" t="s">
        <v>37</v>
      </c>
      <c r="F92" t="s">
        <v>39</v>
      </c>
    </row>
    <row r="93" spans="1:6" x14ac:dyDescent="0.3">
      <c r="A93">
        <v>15</v>
      </c>
      <c r="B93">
        <v>1564</v>
      </c>
      <c r="C93" t="s">
        <v>836</v>
      </c>
      <c r="D93" t="s">
        <v>39</v>
      </c>
      <c r="E93" t="s">
        <v>37</v>
      </c>
      <c r="F93" t="s">
        <v>39</v>
      </c>
    </row>
    <row r="94" spans="1:6" x14ac:dyDescent="0.3">
      <c r="A94">
        <v>3502</v>
      </c>
      <c r="B94">
        <v>20385</v>
      </c>
      <c r="C94" t="s">
        <v>837</v>
      </c>
      <c r="D94" t="s">
        <v>40</v>
      </c>
      <c r="E94" t="s">
        <v>37</v>
      </c>
      <c r="F94" t="s">
        <v>40</v>
      </c>
    </row>
    <row r="95" spans="1:6" x14ac:dyDescent="0.3">
      <c r="A95">
        <v>3502</v>
      </c>
      <c r="B95">
        <v>3502</v>
      </c>
      <c r="C95" t="s">
        <v>837</v>
      </c>
      <c r="D95" t="s">
        <v>40</v>
      </c>
      <c r="E95" t="s">
        <v>37</v>
      </c>
      <c r="F95" t="s">
        <v>40</v>
      </c>
    </row>
    <row r="96" spans="1:6" x14ac:dyDescent="0.3">
      <c r="A96">
        <v>4502</v>
      </c>
      <c r="B96">
        <v>4502</v>
      </c>
      <c r="C96" t="s">
        <v>900</v>
      </c>
      <c r="D96" t="s">
        <v>41</v>
      </c>
      <c r="E96" t="s">
        <v>37</v>
      </c>
      <c r="F96" t="s">
        <v>41</v>
      </c>
    </row>
    <row r="97" spans="1:6" x14ac:dyDescent="0.3">
      <c r="A97">
        <v>4502</v>
      </c>
      <c r="B97">
        <v>450200</v>
      </c>
      <c r="C97" t="s">
        <v>904</v>
      </c>
      <c r="D97" t="s">
        <v>41</v>
      </c>
      <c r="E97" t="s">
        <v>37</v>
      </c>
      <c r="F97" t="s">
        <v>41</v>
      </c>
    </row>
    <row r="98" spans="1:6" x14ac:dyDescent="0.3">
      <c r="A98">
        <v>4502</v>
      </c>
      <c r="B98">
        <v>45028</v>
      </c>
      <c r="C98" t="s">
        <v>838</v>
      </c>
      <c r="D98" t="s">
        <v>41</v>
      </c>
      <c r="E98" t="s">
        <v>37</v>
      </c>
      <c r="F98" t="s">
        <v>41</v>
      </c>
    </row>
    <row r="99" spans="1:6" x14ac:dyDescent="0.3">
      <c r="A99">
        <v>4502</v>
      </c>
      <c r="B99">
        <v>45029</v>
      </c>
      <c r="C99" t="s">
        <v>839</v>
      </c>
      <c r="D99" t="s">
        <v>41</v>
      </c>
      <c r="E99" t="s">
        <v>37</v>
      </c>
      <c r="F99" t="s">
        <v>41</v>
      </c>
    </row>
    <row r="100" spans="1:6" x14ac:dyDescent="0.3">
      <c r="A100">
        <v>655</v>
      </c>
      <c r="B100">
        <v>655</v>
      </c>
      <c r="C100" t="s">
        <v>840</v>
      </c>
      <c r="D100" t="s">
        <v>42</v>
      </c>
      <c r="E100" t="s">
        <v>37</v>
      </c>
      <c r="F100" t="s">
        <v>42</v>
      </c>
    </row>
    <row r="101" spans="1:6" x14ac:dyDescent="0.3">
      <c r="A101">
        <v>650</v>
      </c>
      <c r="B101">
        <v>6501</v>
      </c>
      <c r="C101" t="s">
        <v>895</v>
      </c>
      <c r="D101" t="s">
        <v>43</v>
      </c>
      <c r="E101" t="s">
        <v>37</v>
      </c>
      <c r="F101" t="s">
        <v>43</v>
      </c>
    </row>
    <row r="102" spans="1:6" x14ac:dyDescent="0.3">
      <c r="A102">
        <v>2585</v>
      </c>
      <c r="B102">
        <v>25852</v>
      </c>
      <c r="C102" t="s">
        <v>841</v>
      </c>
      <c r="D102" t="s">
        <v>47</v>
      </c>
      <c r="E102" t="s">
        <v>46</v>
      </c>
      <c r="F102" t="s">
        <v>47</v>
      </c>
    </row>
    <row r="103" spans="1:6" x14ac:dyDescent="0.3">
      <c r="A103">
        <v>2586</v>
      </c>
      <c r="B103">
        <v>208120</v>
      </c>
      <c r="C103" t="s">
        <v>906</v>
      </c>
      <c r="D103" t="s">
        <v>48</v>
      </c>
      <c r="E103" t="s">
        <v>46</v>
      </c>
      <c r="F103" t="s">
        <v>48</v>
      </c>
    </row>
  </sheetData>
  <pageMargins left="0.7" right="0.7" top="0.75" bottom="0.75" header="0.3" footer="0.3"/>
  <pageSetup orientation="portrait"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8"/>
  <sheetViews>
    <sheetView topLeftCell="A46" zoomScale="85" zoomScaleNormal="85" workbookViewId="0">
      <selection activeCell="A55" sqref="A55"/>
    </sheetView>
  </sheetViews>
  <sheetFormatPr defaultRowHeight="14.4" x14ac:dyDescent="0.3"/>
  <cols>
    <col min="1" max="1" width="17.88671875" customWidth="1"/>
    <col min="2" max="2" width="47.109375" bestFit="1" customWidth="1"/>
    <col min="3" max="3" width="30.5546875" bestFit="1" customWidth="1"/>
    <col min="4" max="4" width="46.6640625" bestFit="1" customWidth="1"/>
    <col min="5" max="5" width="16" bestFit="1" customWidth="1"/>
  </cols>
  <sheetData>
    <row r="1" spans="1:5" x14ac:dyDescent="0.3">
      <c r="A1" t="s">
        <v>783</v>
      </c>
      <c r="B1" t="s">
        <v>784</v>
      </c>
      <c r="C1" t="s">
        <v>842</v>
      </c>
      <c r="D1" t="s">
        <v>843</v>
      </c>
      <c r="E1" t="s">
        <v>844</v>
      </c>
    </row>
    <row r="2" spans="1:5" x14ac:dyDescent="0.3">
      <c r="A2" s="41" t="s">
        <v>763</v>
      </c>
      <c r="B2" t="s">
        <v>53</v>
      </c>
      <c r="C2" t="s">
        <v>52</v>
      </c>
      <c r="D2" t="s">
        <v>53</v>
      </c>
    </row>
    <row r="3" spans="1:5" x14ac:dyDescent="0.3">
      <c r="A3" s="41" t="s">
        <v>404</v>
      </c>
      <c r="B3" t="s">
        <v>54</v>
      </c>
      <c r="C3" t="s">
        <v>52</v>
      </c>
      <c r="D3" t="s">
        <v>54</v>
      </c>
    </row>
    <row r="4" spans="1:5" x14ac:dyDescent="0.3">
      <c r="A4" s="41" t="s">
        <v>448</v>
      </c>
      <c r="B4" t="s">
        <v>55</v>
      </c>
      <c r="C4" t="s">
        <v>52</v>
      </c>
      <c r="D4" t="s">
        <v>55</v>
      </c>
    </row>
    <row r="5" spans="1:5" x14ac:dyDescent="0.3">
      <c r="A5" s="41" t="s">
        <v>443</v>
      </c>
      <c r="B5" t="s">
        <v>56</v>
      </c>
      <c r="C5" t="s">
        <v>52</v>
      </c>
      <c r="D5" t="s">
        <v>56</v>
      </c>
    </row>
    <row r="6" spans="1:5" x14ac:dyDescent="0.3">
      <c r="A6" s="58" t="s">
        <v>1166</v>
      </c>
      <c r="B6" t="s">
        <v>57</v>
      </c>
      <c r="C6" t="s">
        <v>52</v>
      </c>
      <c r="D6" t="s">
        <v>57</v>
      </c>
    </row>
    <row r="7" spans="1:5" x14ac:dyDescent="0.3">
      <c r="A7" s="41" t="s">
        <v>743</v>
      </c>
      <c r="B7" t="s">
        <v>58</v>
      </c>
      <c r="C7" t="s">
        <v>52</v>
      </c>
      <c r="D7" t="s">
        <v>58</v>
      </c>
    </row>
    <row r="8" spans="1:5" x14ac:dyDescent="0.3">
      <c r="A8" s="41" t="s">
        <v>742</v>
      </c>
      <c r="B8" t="s">
        <v>61</v>
      </c>
      <c r="C8" t="s">
        <v>60</v>
      </c>
      <c r="D8" t="s">
        <v>61</v>
      </c>
    </row>
    <row r="9" spans="1:5" x14ac:dyDescent="0.3">
      <c r="A9" s="41" t="s">
        <v>447</v>
      </c>
      <c r="B9" t="s">
        <v>64</v>
      </c>
      <c r="C9" t="s">
        <v>63</v>
      </c>
      <c r="D9" t="s">
        <v>64</v>
      </c>
    </row>
    <row r="10" spans="1:5" x14ac:dyDescent="0.3">
      <c r="A10" t="s">
        <v>845</v>
      </c>
      <c r="B10" t="s">
        <v>846</v>
      </c>
      <c r="C10" t="s">
        <v>63</v>
      </c>
      <c r="D10" t="s">
        <v>846</v>
      </c>
    </row>
    <row r="11" spans="1:5" x14ac:dyDescent="0.3">
      <c r="A11" s="41" t="s">
        <v>939</v>
      </c>
      <c r="B11" t="s">
        <v>67</v>
      </c>
      <c r="C11" t="s">
        <v>66</v>
      </c>
      <c r="D11" t="s">
        <v>67</v>
      </c>
    </row>
    <row r="12" spans="1:5" x14ac:dyDescent="0.3">
      <c r="A12" s="41" t="s">
        <v>723</v>
      </c>
      <c r="B12" t="s">
        <v>722</v>
      </c>
      <c r="C12" t="s">
        <v>66</v>
      </c>
      <c r="D12" t="s">
        <v>67</v>
      </c>
    </row>
    <row r="13" spans="1:5" x14ac:dyDescent="0.3">
      <c r="A13" s="41" t="s">
        <v>421</v>
      </c>
      <c r="B13" t="s">
        <v>420</v>
      </c>
      <c r="C13" t="s">
        <v>66</v>
      </c>
      <c r="D13" t="s">
        <v>67</v>
      </c>
    </row>
    <row r="14" spans="1:5" x14ac:dyDescent="0.3">
      <c r="A14" t="s">
        <v>847</v>
      </c>
      <c r="B14" t="s">
        <v>916</v>
      </c>
      <c r="C14" t="s">
        <v>66</v>
      </c>
      <c r="D14" t="s">
        <v>67</v>
      </c>
    </row>
    <row r="15" spans="1:5" x14ac:dyDescent="0.3">
      <c r="A15" s="41" t="s">
        <v>425</v>
      </c>
      <c r="B15" t="s">
        <v>68</v>
      </c>
      <c r="C15" t="s">
        <v>66</v>
      </c>
      <c r="D15" t="s">
        <v>68</v>
      </c>
    </row>
    <row r="16" spans="1:5" x14ac:dyDescent="0.3">
      <c r="A16" s="41" t="s">
        <v>410</v>
      </c>
      <c r="B16" t="s">
        <v>69</v>
      </c>
      <c r="C16" t="s">
        <v>66</v>
      </c>
      <c r="D16" t="s">
        <v>69</v>
      </c>
    </row>
    <row r="17" spans="1:5" x14ac:dyDescent="0.3">
      <c r="A17" s="41" t="s">
        <v>407</v>
      </c>
      <c r="B17" t="s">
        <v>72</v>
      </c>
      <c r="C17" t="s">
        <v>71</v>
      </c>
      <c r="D17" t="s">
        <v>72</v>
      </c>
    </row>
    <row r="18" spans="1:5" x14ac:dyDescent="0.3">
      <c r="A18" s="41" t="s">
        <v>691</v>
      </c>
      <c r="B18" t="s">
        <v>73</v>
      </c>
      <c r="C18" t="s">
        <v>71</v>
      </c>
      <c r="D18" t="s">
        <v>73</v>
      </c>
    </row>
    <row r="19" spans="1:5" x14ac:dyDescent="0.3">
      <c r="A19" s="58" t="s">
        <v>1165</v>
      </c>
      <c r="B19" t="s">
        <v>76</v>
      </c>
      <c r="C19" t="s">
        <v>75</v>
      </c>
      <c r="D19" t="s">
        <v>76</v>
      </c>
    </row>
    <row r="20" spans="1:5" x14ac:dyDescent="0.3">
      <c r="A20" s="41" t="s">
        <v>688</v>
      </c>
      <c r="B20" t="s">
        <v>77</v>
      </c>
      <c r="C20" t="s">
        <v>75</v>
      </c>
      <c r="D20" t="s">
        <v>77</v>
      </c>
    </row>
    <row r="21" spans="1:5" x14ac:dyDescent="0.3">
      <c r="A21" s="41" t="s">
        <v>334</v>
      </c>
      <c r="B21" s="44" t="s">
        <v>79</v>
      </c>
      <c r="C21" s="44" t="s">
        <v>75</v>
      </c>
      <c r="D21" s="44" t="s">
        <v>78</v>
      </c>
      <c r="E21" s="44" t="s">
        <v>848</v>
      </c>
    </row>
    <row r="22" spans="1:5" x14ac:dyDescent="0.3">
      <c r="A22" s="45" t="s">
        <v>849</v>
      </c>
      <c r="B22" s="45" t="s">
        <v>850</v>
      </c>
      <c r="C22" s="45" t="s">
        <v>75</v>
      </c>
      <c r="D22" s="45" t="s">
        <v>78</v>
      </c>
      <c r="E22" s="45" t="s">
        <v>851</v>
      </c>
    </row>
    <row r="23" spans="1:5" x14ac:dyDescent="0.3">
      <c r="A23" s="45" t="s">
        <v>852</v>
      </c>
      <c r="B23" s="45" t="s">
        <v>853</v>
      </c>
      <c r="C23" s="45" t="s">
        <v>75</v>
      </c>
      <c r="D23" s="45" t="s">
        <v>78</v>
      </c>
      <c r="E23" s="45" t="s">
        <v>851</v>
      </c>
    </row>
    <row r="24" spans="1:5" x14ac:dyDescent="0.3">
      <c r="A24" s="45" t="s">
        <v>854</v>
      </c>
      <c r="B24" s="45" t="s">
        <v>855</v>
      </c>
      <c r="C24" s="45" t="s">
        <v>75</v>
      </c>
      <c r="D24" s="45" t="s">
        <v>78</v>
      </c>
      <c r="E24" s="45" t="s">
        <v>851</v>
      </c>
    </row>
    <row r="25" spans="1:5" x14ac:dyDescent="0.3">
      <c r="A25" s="45" t="s">
        <v>856</v>
      </c>
      <c r="B25" s="45" t="s">
        <v>857</v>
      </c>
      <c r="C25" s="45" t="s">
        <v>75</v>
      </c>
      <c r="D25" s="45" t="s">
        <v>78</v>
      </c>
      <c r="E25" s="45" t="s">
        <v>851</v>
      </c>
    </row>
    <row r="26" spans="1:5" x14ac:dyDescent="0.3">
      <c r="A26" s="45" t="s">
        <v>858</v>
      </c>
      <c r="B26" s="45" t="s">
        <v>859</v>
      </c>
      <c r="C26" s="45" t="s">
        <v>75</v>
      </c>
      <c r="D26" s="45" t="s">
        <v>78</v>
      </c>
      <c r="E26" s="45" t="s">
        <v>851</v>
      </c>
    </row>
    <row r="27" spans="1:5" x14ac:dyDescent="0.3">
      <c r="A27" s="41" t="s">
        <v>333</v>
      </c>
      <c r="B27" t="s">
        <v>332</v>
      </c>
      <c r="C27" t="s">
        <v>75</v>
      </c>
      <c r="D27" t="s">
        <v>78</v>
      </c>
    </row>
    <row r="28" spans="1:5" x14ac:dyDescent="0.3">
      <c r="A28" s="41" t="s">
        <v>329</v>
      </c>
      <c r="B28" t="s">
        <v>328</v>
      </c>
      <c r="C28" t="s">
        <v>75</v>
      </c>
      <c r="D28" t="s">
        <v>78</v>
      </c>
    </row>
    <row r="29" spans="1:5" x14ac:dyDescent="0.3">
      <c r="A29" s="41" t="s">
        <v>685</v>
      </c>
      <c r="B29" t="s">
        <v>684</v>
      </c>
      <c r="C29" t="s">
        <v>75</v>
      </c>
      <c r="D29" t="s">
        <v>78</v>
      </c>
    </row>
    <row r="30" spans="1:5" x14ac:dyDescent="0.3">
      <c r="A30" s="41" t="s">
        <v>319</v>
      </c>
      <c r="B30" s="44" t="s">
        <v>80</v>
      </c>
      <c r="C30" s="44" t="s">
        <v>75</v>
      </c>
      <c r="D30" s="44" t="s">
        <v>78</v>
      </c>
      <c r="E30" s="44" t="s">
        <v>860</v>
      </c>
    </row>
    <row r="31" spans="1:5" x14ac:dyDescent="0.3">
      <c r="A31" s="41" t="s">
        <v>310</v>
      </c>
      <c r="B31" s="44" t="s">
        <v>81</v>
      </c>
      <c r="C31" s="44" t="s">
        <v>75</v>
      </c>
      <c r="D31" s="44" t="s">
        <v>78</v>
      </c>
      <c r="E31" s="44" t="s">
        <v>860</v>
      </c>
    </row>
    <row r="32" spans="1:5" x14ac:dyDescent="0.3">
      <c r="A32" s="41" t="s">
        <v>402</v>
      </c>
      <c r="B32" t="s">
        <v>84</v>
      </c>
      <c r="C32" t="s">
        <v>83</v>
      </c>
      <c r="D32" t="s">
        <v>84</v>
      </c>
    </row>
    <row r="33" spans="1:5" x14ac:dyDescent="0.3">
      <c r="A33" s="41" t="s">
        <v>476</v>
      </c>
      <c r="B33" t="s">
        <v>475</v>
      </c>
      <c r="C33" t="s">
        <v>88</v>
      </c>
      <c r="D33" t="s">
        <v>87</v>
      </c>
    </row>
    <row r="34" spans="1:5" x14ac:dyDescent="0.3">
      <c r="A34" s="41" t="s">
        <v>180</v>
      </c>
      <c r="B34" t="s">
        <v>179</v>
      </c>
      <c r="C34" t="s">
        <v>88</v>
      </c>
      <c r="D34" t="s">
        <v>87</v>
      </c>
    </row>
    <row r="35" spans="1:5" x14ac:dyDescent="0.3">
      <c r="A35" s="41" t="s">
        <v>438</v>
      </c>
      <c r="B35" t="s">
        <v>437</v>
      </c>
      <c r="C35" t="s">
        <v>88</v>
      </c>
      <c r="D35" t="s">
        <v>87</v>
      </c>
    </row>
    <row r="36" spans="1:5" x14ac:dyDescent="0.3">
      <c r="A36" t="s">
        <v>861</v>
      </c>
      <c r="B36" t="s">
        <v>917</v>
      </c>
      <c r="C36" t="s">
        <v>88</v>
      </c>
      <c r="D36" t="s">
        <v>87</v>
      </c>
    </row>
    <row r="37" spans="1:5" x14ac:dyDescent="0.3">
      <c r="A37" s="41" t="s">
        <v>436</v>
      </c>
      <c r="B37" t="s">
        <v>286</v>
      </c>
      <c r="C37" t="s">
        <v>88</v>
      </c>
      <c r="D37" t="s">
        <v>87</v>
      </c>
    </row>
    <row r="38" spans="1:5" x14ac:dyDescent="0.3">
      <c r="A38" s="59" t="s">
        <v>862</v>
      </c>
      <c r="B38" s="59" t="s">
        <v>918</v>
      </c>
      <c r="C38" s="59" t="s">
        <v>88</v>
      </c>
      <c r="D38" s="59" t="s">
        <v>87</v>
      </c>
      <c r="E38" s="59" t="s">
        <v>909</v>
      </c>
    </row>
    <row r="39" spans="1:5" x14ac:dyDescent="0.3">
      <c r="A39" s="55" t="s">
        <v>435</v>
      </c>
      <c r="B39" s="44" t="s">
        <v>434</v>
      </c>
      <c r="C39" s="44" t="s">
        <v>88</v>
      </c>
      <c r="D39" s="44" t="s">
        <v>87</v>
      </c>
      <c r="E39" s="44" t="s">
        <v>848</v>
      </c>
    </row>
    <row r="40" spans="1:5" x14ac:dyDescent="0.3">
      <c r="A40" s="56" t="s">
        <v>431</v>
      </c>
      <c r="B40" s="56" t="s">
        <v>430</v>
      </c>
      <c r="C40" s="54" t="s">
        <v>88</v>
      </c>
      <c r="D40" s="54" t="s">
        <v>87</v>
      </c>
      <c r="E40" s="54"/>
    </row>
    <row r="41" spans="1:5" x14ac:dyDescent="0.3">
      <c r="A41" t="s">
        <v>863</v>
      </c>
      <c r="B41" t="s">
        <v>919</v>
      </c>
      <c r="C41" t="s">
        <v>88</v>
      </c>
      <c r="D41" t="s">
        <v>90</v>
      </c>
    </row>
    <row r="42" spans="1:5" x14ac:dyDescent="0.3">
      <c r="A42" t="s">
        <v>864</v>
      </c>
      <c r="B42" t="s">
        <v>920</v>
      </c>
      <c r="C42" t="s">
        <v>88</v>
      </c>
      <c r="D42" t="s">
        <v>90</v>
      </c>
    </row>
    <row r="43" spans="1:5" x14ac:dyDescent="0.3">
      <c r="A43" s="41" t="s">
        <v>710</v>
      </c>
      <c r="B43" t="s">
        <v>709</v>
      </c>
      <c r="C43" t="s">
        <v>88</v>
      </c>
      <c r="D43" t="s">
        <v>90</v>
      </c>
    </row>
    <row r="44" spans="1:5" x14ac:dyDescent="0.3">
      <c r="A44" s="42" t="s">
        <v>419</v>
      </c>
      <c r="B44" s="44" t="s">
        <v>418</v>
      </c>
      <c r="C44" s="44" t="s">
        <v>88</v>
      </c>
      <c r="D44" s="44" t="s">
        <v>90</v>
      </c>
      <c r="E44" s="44" t="s">
        <v>860</v>
      </c>
    </row>
    <row r="45" spans="1:5" x14ac:dyDescent="0.3">
      <c r="A45" s="55" t="s">
        <v>414</v>
      </c>
      <c r="B45" s="44" t="s">
        <v>413</v>
      </c>
      <c r="C45" s="44" t="s">
        <v>88</v>
      </c>
      <c r="D45" s="44" t="s">
        <v>90</v>
      </c>
      <c r="E45" s="44" t="s">
        <v>860</v>
      </c>
    </row>
    <row r="46" spans="1:5" x14ac:dyDescent="0.3">
      <c r="A46" s="56" t="s">
        <v>706</v>
      </c>
      <c r="B46" s="56" t="s">
        <v>415</v>
      </c>
      <c r="C46" s="54" t="s">
        <v>88</v>
      </c>
      <c r="D46" s="54" t="s">
        <v>90</v>
      </c>
      <c r="E46" s="54"/>
    </row>
    <row r="47" spans="1:5" x14ac:dyDescent="0.3">
      <c r="A47" t="s">
        <v>865</v>
      </c>
      <c r="B47" t="s">
        <v>92</v>
      </c>
      <c r="C47" t="s">
        <v>88</v>
      </c>
    </row>
    <row r="48" spans="1:5" x14ac:dyDescent="0.3">
      <c r="A48" s="41" t="s">
        <v>446</v>
      </c>
      <c r="B48" t="s">
        <v>445</v>
      </c>
      <c r="C48" t="s">
        <v>88</v>
      </c>
      <c r="D48" t="s">
        <v>92</v>
      </c>
    </row>
    <row r="49" spans="1:5" x14ac:dyDescent="0.3">
      <c r="A49" s="41" t="s">
        <v>215</v>
      </c>
      <c r="B49" t="s">
        <v>214</v>
      </c>
      <c r="C49" t="s">
        <v>88</v>
      </c>
      <c r="D49" t="s">
        <v>92</v>
      </c>
    </row>
    <row r="50" spans="1:5" x14ac:dyDescent="0.3">
      <c r="A50" s="41" t="s">
        <v>725</v>
      </c>
      <c r="B50" t="s">
        <v>724</v>
      </c>
      <c r="C50" t="s">
        <v>88</v>
      </c>
      <c r="D50" t="s">
        <v>92</v>
      </c>
    </row>
    <row r="51" spans="1:5" x14ac:dyDescent="0.3">
      <c r="A51" s="45" t="s">
        <v>866</v>
      </c>
      <c r="B51" s="45" t="s">
        <v>867</v>
      </c>
      <c r="C51" s="45" t="s">
        <v>88</v>
      </c>
      <c r="D51" s="45" t="s">
        <v>92</v>
      </c>
      <c r="E51" s="45" t="s">
        <v>851</v>
      </c>
    </row>
    <row r="52" spans="1:5" x14ac:dyDescent="0.3">
      <c r="A52" s="41" t="s">
        <v>741</v>
      </c>
      <c r="B52" t="s">
        <v>740</v>
      </c>
      <c r="C52" t="s">
        <v>88</v>
      </c>
      <c r="D52" t="s">
        <v>92</v>
      </c>
    </row>
    <row r="53" spans="1:5" x14ac:dyDescent="0.3">
      <c r="A53" s="41" t="s">
        <v>440</v>
      </c>
      <c r="B53" t="s">
        <v>439</v>
      </c>
      <c r="C53" t="s">
        <v>88</v>
      </c>
      <c r="D53" t="s">
        <v>92</v>
      </c>
    </row>
    <row r="54" spans="1:5" x14ac:dyDescent="0.3">
      <c r="A54" s="41" t="s">
        <v>233</v>
      </c>
      <c r="B54" t="s">
        <v>953</v>
      </c>
      <c r="C54" t="s">
        <v>88</v>
      </c>
      <c r="D54" t="s">
        <v>93</v>
      </c>
      <c r="E54" t="s">
        <v>848</v>
      </c>
    </row>
    <row r="55" spans="1:5" x14ac:dyDescent="0.3">
      <c r="A55" s="41" t="s">
        <v>229</v>
      </c>
      <c r="B55" t="s">
        <v>230</v>
      </c>
      <c r="C55" t="s">
        <v>88</v>
      </c>
      <c r="D55" t="s">
        <v>93</v>
      </c>
      <c r="E55" t="s">
        <v>848</v>
      </c>
    </row>
    <row r="56" spans="1:5" x14ac:dyDescent="0.3">
      <c r="A56" s="41" t="s">
        <v>243</v>
      </c>
      <c r="B56" t="s">
        <v>244</v>
      </c>
      <c r="C56" t="s">
        <v>88</v>
      </c>
      <c r="D56" t="s">
        <v>93</v>
      </c>
      <c r="E56" t="s">
        <v>848</v>
      </c>
    </row>
    <row r="57" spans="1:5" x14ac:dyDescent="0.3">
      <c r="A57" s="41" t="s">
        <v>240</v>
      </c>
      <c r="B57" t="s">
        <v>241</v>
      </c>
      <c r="C57" t="s">
        <v>88</v>
      </c>
      <c r="D57" t="s">
        <v>93</v>
      </c>
      <c r="E57" t="s">
        <v>848</v>
      </c>
    </row>
    <row r="58" spans="1:5" x14ac:dyDescent="0.3">
      <c r="A58" s="41" t="s">
        <v>237</v>
      </c>
      <c r="B58" t="s">
        <v>94</v>
      </c>
      <c r="C58" t="s">
        <v>88</v>
      </c>
      <c r="D58" t="s">
        <v>93</v>
      </c>
    </row>
    <row r="59" spans="1:5" x14ac:dyDescent="0.3">
      <c r="A59" s="41" t="s">
        <v>246</v>
      </c>
      <c r="B59" t="s">
        <v>95</v>
      </c>
      <c r="C59" t="s">
        <v>88</v>
      </c>
      <c r="D59" t="s">
        <v>93</v>
      </c>
    </row>
    <row r="60" spans="1:5" x14ac:dyDescent="0.3">
      <c r="A60" s="45" t="s">
        <v>868</v>
      </c>
      <c r="B60" s="45" t="s">
        <v>869</v>
      </c>
      <c r="C60" s="45" t="s">
        <v>88</v>
      </c>
      <c r="D60" s="45" t="s">
        <v>93</v>
      </c>
      <c r="E60" s="45" t="s">
        <v>851</v>
      </c>
    </row>
    <row r="61" spans="1:5" x14ac:dyDescent="0.3">
      <c r="A61" s="45" t="s">
        <v>870</v>
      </c>
      <c r="B61" s="45" t="s">
        <v>871</v>
      </c>
      <c r="C61" s="45" t="s">
        <v>88</v>
      </c>
      <c r="D61" s="45" t="s">
        <v>93</v>
      </c>
      <c r="E61" s="45" t="s">
        <v>851</v>
      </c>
    </row>
    <row r="62" spans="1:5" x14ac:dyDescent="0.3">
      <c r="A62" s="41" t="s">
        <v>225</v>
      </c>
      <c r="B62" t="s">
        <v>224</v>
      </c>
      <c r="C62" t="s">
        <v>88</v>
      </c>
      <c r="D62" t="s">
        <v>96</v>
      </c>
    </row>
    <row r="63" spans="1:5" x14ac:dyDescent="0.3">
      <c r="A63" s="41" t="s">
        <v>211</v>
      </c>
      <c r="B63" t="s">
        <v>210</v>
      </c>
      <c r="C63" t="s">
        <v>88</v>
      </c>
      <c r="D63" t="s">
        <v>96</v>
      </c>
    </row>
    <row r="64" spans="1:5" x14ac:dyDescent="0.3">
      <c r="A64" s="41" t="s">
        <v>205</v>
      </c>
      <c r="B64" t="s">
        <v>204</v>
      </c>
      <c r="C64" t="s">
        <v>88</v>
      </c>
      <c r="D64" t="s">
        <v>96</v>
      </c>
    </row>
    <row r="65" spans="1:4" x14ac:dyDescent="0.3">
      <c r="A65" t="s">
        <v>872</v>
      </c>
      <c r="B65" t="s">
        <v>97</v>
      </c>
      <c r="C65" t="s">
        <v>88</v>
      </c>
      <c r="D65" t="s">
        <v>96</v>
      </c>
    </row>
    <row r="66" spans="1:4" x14ac:dyDescent="0.3">
      <c r="A66" s="41" t="s">
        <v>217</v>
      </c>
      <c r="B66" t="s">
        <v>98</v>
      </c>
      <c r="C66" t="s">
        <v>88</v>
      </c>
      <c r="D66" t="s">
        <v>96</v>
      </c>
    </row>
    <row r="67" spans="1:4" x14ac:dyDescent="0.3">
      <c r="A67" s="41" t="s">
        <v>190</v>
      </c>
      <c r="B67" t="s">
        <v>99</v>
      </c>
      <c r="C67" t="s">
        <v>88</v>
      </c>
      <c r="D67" t="s">
        <v>96</v>
      </c>
    </row>
    <row r="68" spans="1:4" x14ac:dyDescent="0.3">
      <c r="A68" s="41" t="s">
        <v>199</v>
      </c>
      <c r="B68" t="s">
        <v>100</v>
      </c>
      <c r="C68" t="s">
        <v>88</v>
      </c>
      <c r="D68" t="s">
        <v>96</v>
      </c>
    </row>
    <row r="69" spans="1:4" x14ac:dyDescent="0.3">
      <c r="A69" s="41" t="s">
        <v>184</v>
      </c>
      <c r="B69" t="s">
        <v>102</v>
      </c>
      <c r="C69" t="s">
        <v>88</v>
      </c>
      <c r="D69" t="s">
        <v>101</v>
      </c>
    </row>
    <row r="70" spans="1:4" x14ac:dyDescent="0.3">
      <c r="A70" s="41" t="s">
        <v>673</v>
      </c>
      <c r="B70" t="s">
        <v>103</v>
      </c>
      <c r="C70" t="s">
        <v>88</v>
      </c>
      <c r="D70" t="s">
        <v>103</v>
      </c>
    </row>
    <row r="71" spans="1:4" x14ac:dyDescent="0.3">
      <c r="A71" s="41" t="s">
        <v>738</v>
      </c>
      <c r="B71" t="s">
        <v>104</v>
      </c>
      <c r="C71" t="s">
        <v>88</v>
      </c>
      <c r="D71" t="s">
        <v>104</v>
      </c>
    </row>
    <row r="72" spans="1:4" x14ac:dyDescent="0.3">
      <c r="A72" s="41" t="s">
        <v>943</v>
      </c>
      <c r="B72" s="41" t="s">
        <v>106</v>
      </c>
      <c r="C72" t="s">
        <v>89</v>
      </c>
      <c r="D72" t="s">
        <v>106</v>
      </c>
    </row>
    <row r="73" spans="1:4" x14ac:dyDescent="0.3">
      <c r="A73" s="41" t="s">
        <v>305</v>
      </c>
      <c r="B73" t="s">
        <v>304</v>
      </c>
      <c r="C73" t="s">
        <v>89</v>
      </c>
      <c r="D73" t="s">
        <v>106</v>
      </c>
    </row>
    <row r="74" spans="1:4" x14ac:dyDescent="0.3">
      <c r="A74" s="41" t="s">
        <v>292</v>
      </c>
      <c r="B74" t="s">
        <v>921</v>
      </c>
      <c r="C74" t="s">
        <v>89</v>
      </c>
      <c r="D74" t="s">
        <v>106</v>
      </c>
    </row>
    <row r="75" spans="1:4" x14ac:dyDescent="0.3">
      <c r="A75" s="41" t="s">
        <v>295</v>
      </c>
      <c r="B75" t="s">
        <v>294</v>
      </c>
      <c r="C75" t="s">
        <v>89</v>
      </c>
      <c r="D75" t="s">
        <v>106</v>
      </c>
    </row>
    <row r="76" spans="1:4" x14ac:dyDescent="0.3">
      <c r="A76" s="41" t="s">
        <v>260</v>
      </c>
      <c r="B76" t="s">
        <v>259</v>
      </c>
      <c r="C76" t="s">
        <v>89</v>
      </c>
      <c r="D76" t="s">
        <v>106</v>
      </c>
    </row>
    <row r="77" spans="1:4" x14ac:dyDescent="0.3">
      <c r="A77" s="41" t="s">
        <v>282</v>
      </c>
      <c r="B77" t="s">
        <v>908</v>
      </c>
      <c r="C77" t="s">
        <v>89</v>
      </c>
      <c r="D77" t="s">
        <v>106</v>
      </c>
    </row>
    <row r="78" spans="1:4" x14ac:dyDescent="0.3">
      <c r="A78" s="41" t="s">
        <v>289</v>
      </c>
      <c r="B78" t="s">
        <v>288</v>
      </c>
      <c r="C78" t="s">
        <v>89</v>
      </c>
      <c r="D78" t="s">
        <v>106</v>
      </c>
    </row>
    <row r="79" spans="1:4" x14ac:dyDescent="0.3">
      <c r="A79" s="41" t="s">
        <v>278</v>
      </c>
      <c r="B79" t="s">
        <v>277</v>
      </c>
      <c r="C79" t="s">
        <v>89</v>
      </c>
      <c r="D79" t="s">
        <v>106</v>
      </c>
    </row>
    <row r="80" spans="1:4" x14ac:dyDescent="0.3">
      <c r="A80" s="41" t="s">
        <v>362</v>
      </c>
      <c r="B80" t="s">
        <v>361</v>
      </c>
      <c r="C80" t="s">
        <v>89</v>
      </c>
      <c r="D80" t="s">
        <v>106</v>
      </c>
    </row>
    <row r="81" spans="1:5" x14ac:dyDescent="0.3">
      <c r="A81" s="45" t="s">
        <v>873</v>
      </c>
      <c r="B81" s="45" t="s">
        <v>874</v>
      </c>
      <c r="C81" s="45" t="s">
        <v>89</v>
      </c>
      <c r="D81" s="45" t="s">
        <v>107</v>
      </c>
      <c r="E81" s="45" t="s">
        <v>851</v>
      </c>
    </row>
    <row r="82" spans="1:5" x14ac:dyDescent="0.3">
      <c r="A82" s="45" t="s">
        <v>875</v>
      </c>
      <c r="B82" s="45" t="s">
        <v>876</v>
      </c>
      <c r="C82" s="45" t="s">
        <v>89</v>
      </c>
      <c r="D82" s="45" t="s">
        <v>107</v>
      </c>
      <c r="E82" s="45" t="s">
        <v>851</v>
      </c>
    </row>
    <row r="83" spans="1:5" x14ac:dyDescent="0.3">
      <c r="A83" s="41" t="s">
        <v>266</v>
      </c>
      <c r="B83" t="s">
        <v>263</v>
      </c>
      <c r="C83" t="s">
        <v>89</v>
      </c>
      <c r="D83" t="s">
        <v>107</v>
      </c>
    </row>
    <row r="84" spans="1:5" x14ac:dyDescent="0.3">
      <c r="A84" s="41" t="s">
        <v>257</v>
      </c>
      <c r="B84" t="s">
        <v>256</v>
      </c>
      <c r="C84" t="s">
        <v>89</v>
      </c>
      <c r="D84" t="s">
        <v>107</v>
      </c>
    </row>
    <row r="85" spans="1:5" x14ac:dyDescent="0.3">
      <c r="A85" s="41" t="s">
        <v>250</v>
      </c>
      <c r="B85" t="s">
        <v>249</v>
      </c>
      <c r="C85" t="s">
        <v>89</v>
      </c>
      <c r="D85" t="s">
        <v>107</v>
      </c>
      <c r="E85" t="s">
        <v>848</v>
      </c>
    </row>
    <row r="86" spans="1:5" x14ac:dyDescent="0.3">
      <c r="A86" s="41" t="s">
        <v>360</v>
      </c>
      <c r="B86" t="s">
        <v>361</v>
      </c>
      <c r="C86" t="s">
        <v>89</v>
      </c>
      <c r="D86" t="s">
        <v>107</v>
      </c>
    </row>
    <row r="87" spans="1:5" x14ac:dyDescent="0.3">
      <c r="A87" s="45" t="s">
        <v>877</v>
      </c>
      <c r="B87" s="45" t="s">
        <v>108</v>
      </c>
      <c r="C87" s="45" t="s">
        <v>89</v>
      </c>
      <c r="D87" s="45" t="s">
        <v>107</v>
      </c>
      <c r="E87" s="45" t="s">
        <v>909</v>
      </c>
    </row>
    <row r="88" spans="1:5" x14ac:dyDescent="0.3">
      <c r="A88" s="42" t="s">
        <v>279</v>
      </c>
      <c r="B88" s="44" t="s">
        <v>1566</v>
      </c>
      <c r="C88" s="44" t="s">
        <v>89</v>
      </c>
      <c r="D88" s="44" t="s">
        <v>107</v>
      </c>
      <c r="E88" s="44" t="s">
        <v>878</v>
      </c>
    </row>
    <row r="89" spans="1:5" x14ac:dyDescent="0.3">
      <c r="A89" s="41" t="s">
        <v>358</v>
      </c>
      <c r="B89" s="41" t="s">
        <v>357</v>
      </c>
      <c r="C89" s="44" t="s">
        <v>89</v>
      </c>
      <c r="D89" s="44" t="s">
        <v>107</v>
      </c>
      <c r="E89" s="44"/>
    </row>
    <row r="90" spans="1:5" x14ac:dyDescent="0.3">
      <c r="A90" s="41" t="s">
        <v>499</v>
      </c>
      <c r="B90" t="s">
        <v>922</v>
      </c>
      <c r="C90" t="s">
        <v>89</v>
      </c>
      <c r="D90" t="s">
        <v>110</v>
      </c>
      <c r="E90" t="s">
        <v>848</v>
      </c>
    </row>
    <row r="91" spans="1:5" x14ac:dyDescent="0.3">
      <c r="A91" s="41" t="s">
        <v>356</v>
      </c>
      <c r="B91" t="s">
        <v>361</v>
      </c>
      <c r="C91" t="s">
        <v>89</v>
      </c>
      <c r="D91" t="s">
        <v>110</v>
      </c>
    </row>
    <row r="92" spans="1:5" x14ac:dyDescent="0.3">
      <c r="A92" s="45" t="s">
        <v>879</v>
      </c>
      <c r="B92" s="45" t="s">
        <v>880</v>
      </c>
      <c r="C92" s="45" t="s">
        <v>89</v>
      </c>
      <c r="D92" s="45" t="s">
        <v>881</v>
      </c>
      <c r="E92" s="45" t="s">
        <v>882</v>
      </c>
    </row>
    <row r="93" spans="1:5" x14ac:dyDescent="0.3">
      <c r="A93" s="45" t="s">
        <v>883</v>
      </c>
      <c r="B93" s="45" t="s">
        <v>884</v>
      </c>
      <c r="C93" s="45" t="s">
        <v>89</v>
      </c>
      <c r="D93" s="45" t="s">
        <v>881</v>
      </c>
      <c r="E93" s="45" t="s">
        <v>882</v>
      </c>
    </row>
    <row r="94" spans="1:5" x14ac:dyDescent="0.3">
      <c r="A94" s="41" t="s">
        <v>944</v>
      </c>
      <c r="B94" t="s">
        <v>111</v>
      </c>
      <c r="C94" t="s">
        <v>89</v>
      </c>
      <c r="D94" t="s">
        <v>111</v>
      </c>
    </row>
    <row r="95" spans="1:5" x14ac:dyDescent="0.3">
      <c r="A95" s="41" t="s">
        <v>355</v>
      </c>
      <c r="B95" t="s">
        <v>354</v>
      </c>
      <c r="C95" t="s">
        <v>89</v>
      </c>
      <c r="D95" t="s">
        <v>111</v>
      </c>
    </row>
    <row r="96" spans="1:5" x14ac:dyDescent="0.3">
      <c r="A96" s="47" t="s">
        <v>353</v>
      </c>
      <c r="B96" s="41" t="s">
        <v>352</v>
      </c>
      <c r="C96" t="s">
        <v>89</v>
      </c>
      <c r="D96" t="s">
        <v>111</v>
      </c>
    </row>
    <row r="97" spans="1:5" x14ac:dyDescent="0.3">
      <c r="A97" s="41" t="s">
        <v>351</v>
      </c>
      <c r="B97" s="41" t="s">
        <v>350</v>
      </c>
      <c r="C97" t="s">
        <v>89</v>
      </c>
      <c r="D97" t="s">
        <v>111</v>
      </c>
    </row>
    <row r="98" spans="1:5" x14ac:dyDescent="0.3">
      <c r="A98" s="42" t="s">
        <v>733</v>
      </c>
      <c r="B98" s="44" t="s">
        <v>732</v>
      </c>
      <c r="C98" s="44" t="s">
        <v>89</v>
      </c>
      <c r="D98" s="44" t="s">
        <v>111</v>
      </c>
      <c r="E98" s="44"/>
    </row>
    <row r="99" spans="1:5" x14ac:dyDescent="0.3">
      <c r="A99" s="41" t="s">
        <v>711</v>
      </c>
      <c r="B99" t="s">
        <v>112</v>
      </c>
      <c r="C99" t="s">
        <v>89</v>
      </c>
      <c r="D99" t="s">
        <v>112</v>
      </c>
    </row>
    <row r="100" spans="1:5" x14ac:dyDescent="0.3">
      <c r="A100" s="41" t="s">
        <v>262</v>
      </c>
      <c r="B100" t="s">
        <v>261</v>
      </c>
      <c r="C100" t="s">
        <v>89</v>
      </c>
      <c r="D100" t="s">
        <v>113</v>
      </c>
    </row>
    <row r="101" spans="1:5" x14ac:dyDescent="0.3">
      <c r="A101" s="41" t="s">
        <v>948</v>
      </c>
      <c r="B101" s="41" t="s">
        <v>114</v>
      </c>
      <c r="C101" t="s">
        <v>89</v>
      </c>
      <c r="D101" t="s">
        <v>114</v>
      </c>
    </row>
    <row r="102" spans="1:5" x14ac:dyDescent="0.3">
      <c r="A102" t="s">
        <v>885</v>
      </c>
      <c r="B102" t="s">
        <v>952</v>
      </c>
      <c r="C102" t="s">
        <v>89</v>
      </c>
      <c r="D102" t="s">
        <v>114</v>
      </c>
    </row>
    <row r="103" spans="1:5" x14ac:dyDescent="0.3">
      <c r="A103" s="41" t="s">
        <v>347</v>
      </c>
      <c r="B103" t="s">
        <v>286</v>
      </c>
      <c r="C103" t="s">
        <v>89</v>
      </c>
      <c r="D103" t="s">
        <v>114</v>
      </c>
    </row>
    <row r="104" spans="1:5" x14ac:dyDescent="0.3">
      <c r="A104" s="41" t="s">
        <v>344</v>
      </c>
      <c r="B104" t="s">
        <v>343</v>
      </c>
      <c r="C104" t="s">
        <v>89</v>
      </c>
      <c r="D104" t="s">
        <v>114</v>
      </c>
    </row>
    <row r="105" spans="1:5" x14ac:dyDescent="0.3">
      <c r="A105" s="41" t="s">
        <v>340</v>
      </c>
      <c r="B105" s="44" t="s">
        <v>339</v>
      </c>
      <c r="C105" s="44" t="s">
        <v>89</v>
      </c>
      <c r="D105" s="44" t="s">
        <v>114</v>
      </c>
      <c r="E105" s="44" t="s">
        <v>860</v>
      </c>
    </row>
    <row r="106" spans="1:5" x14ac:dyDescent="0.3">
      <c r="A106" s="47" t="s">
        <v>401</v>
      </c>
      <c r="B106" t="s">
        <v>116</v>
      </c>
      <c r="C106" t="s">
        <v>91</v>
      </c>
      <c r="D106" t="s">
        <v>116</v>
      </c>
    </row>
    <row r="107" spans="1:5" x14ac:dyDescent="0.3">
      <c r="A107" s="41" t="s">
        <v>400</v>
      </c>
      <c r="B107" t="s">
        <v>117</v>
      </c>
      <c r="C107" t="s">
        <v>91</v>
      </c>
      <c r="D107" t="s">
        <v>117</v>
      </c>
    </row>
    <row r="108" spans="1:5" x14ac:dyDescent="0.3">
      <c r="A108" s="41" t="s">
        <v>941</v>
      </c>
      <c r="B108" t="s">
        <v>118</v>
      </c>
      <c r="C108" t="s">
        <v>91</v>
      </c>
      <c r="D108" t="s">
        <v>118</v>
      </c>
    </row>
    <row r="109" spans="1:5" x14ac:dyDescent="0.3">
      <c r="A109" s="41" t="s">
        <v>670</v>
      </c>
      <c r="B109" t="s">
        <v>669</v>
      </c>
      <c r="C109" t="s">
        <v>91</v>
      </c>
      <c r="D109" t="s">
        <v>118</v>
      </c>
    </row>
    <row r="110" spans="1:5" x14ac:dyDescent="0.3">
      <c r="A110" s="41" t="s">
        <v>398</v>
      </c>
      <c r="B110" t="s">
        <v>907</v>
      </c>
      <c r="C110" t="s">
        <v>91</v>
      </c>
      <c r="D110" t="s">
        <v>118</v>
      </c>
    </row>
    <row r="111" spans="1:5" x14ac:dyDescent="0.3">
      <c r="A111" s="41" t="s">
        <v>666</v>
      </c>
      <c r="B111" t="s">
        <v>155</v>
      </c>
      <c r="C111" t="s">
        <v>91</v>
      </c>
      <c r="D111" t="s">
        <v>118</v>
      </c>
    </row>
    <row r="112" spans="1:5" x14ac:dyDescent="0.3">
      <c r="A112" s="41" t="s">
        <v>395</v>
      </c>
      <c r="B112" t="s">
        <v>394</v>
      </c>
      <c r="C112" t="s">
        <v>91</v>
      </c>
      <c r="D112" t="s">
        <v>118</v>
      </c>
    </row>
    <row r="113" spans="1:5" x14ac:dyDescent="0.3">
      <c r="A113" s="41" t="s">
        <v>392</v>
      </c>
      <c r="B113" t="s">
        <v>391</v>
      </c>
      <c r="C113" t="s">
        <v>91</v>
      </c>
      <c r="D113" t="s">
        <v>118</v>
      </c>
    </row>
    <row r="114" spans="1:5" x14ac:dyDescent="0.3">
      <c r="A114" s="42" t="s">
        <v>660</v>
      </c>
      <c r="B114" s="44" t="s">
        <v>659</v>
      </c>
      <c r="C114" s="44" t="s">
        <v>91</v>
      </c>
      <c r="D114" s="44" t="s">
        <v>118</v>
      </c>
      <c r="E114" s="44" t="s">
        <v>848</v>
      </c>
    </row>
    <row r="115" spans="1:5" x14ac:dyDescent="0.3">
      <c r="A115" s="41" t="s">
        <v>657</v>
      </c>
      <c r="B115" t="s">
        <v>656</v>
      </c>
      <c r="C115" t="s">
        <v>91</v>
      </c>
      <c r="D115" t="s">
        <v>118</v>
      </c>
    </row>
    <row r="116" spans="1:5" x14ac:dyDescent="0.3">
      <c r="A116" s="41" t="s">
        <v>166</v>
      </c>
      <c r="B116" t="s">
        <v>165</v>
      </c>
      <c r="C116" t="s">
        <v>91</v>
      </c>
      <c r="D116" t="s">
        <v>119</v>
      </c>
    </row>
    <row r="117" spans="1:5" x14ac:dyDescent="0.3">
      <c r="A117" s="41" t="s">
        <v>146</v>
      </c>
      <c r="B117" t="s">
        <v>145</v>
      </c>
      <c r="C117" t="s">
        <v>91</v>
      </c>
      <c r="D117" t="s">
        <v>119</v>
      </c>
    </row>
    <row r="118" spans="1:5" x14ac:dyDescent="0.3">
      <c r="A118" s="41" t="s">
        <v>654</v>
      </c>
      <c r="B118" t="s">
        <v>385</v>
      </c>
      <c r="C118" t="s">
        <v>91</v>
      </c>
      <c r="D118" t="s">
        <v>119</v>
      </c>
    </row>
    <row r="119" spans="1:5" x14ac:dyDescent="0.3">
      <c r="A119" s="41" t="s">
        <v>137</v>
      </c>
      <c r="B119" t="s">
        <v>951</v>
      </c>
      <c r="C119" t="s">
        <v>91</v>
      </c>
      <c r="D119" t="s">
        <v>119</v>
      </c>
    </row>
    <row r="120" spans="1:5" x14ac:dyDescent="0.3">
      <c r="A120" s="41" t="s">
        <v>390</v>
      </c>
      <c r="B120" t="s">
        <v>155</v>
      </c>
      <c r="C120" t="s">
        <v>91</v>
      </c>
      <c r="D120" t="s">
        <v>120</v>
      </c>
    </row>
    <row r="121" spans="1:5" x14ac:dyDescent="0.3">
      <c r="A121" s="41" t="s">
        <v>388</v>
      </c>
      <c r="B121" t="s">
        <v>387</v>
      </c>
      <c r="C121" t="s">
        <v>91</v>
      </c>
      <c r="D121" t="s">
        <v>120</v>
      </c>
    </row>
    <row r="122" spans="1:5" x14ac:dyDescent="0.3">
      <c r="A122" s="41" t="s">
        <v>648</v>
      </c>
      <c r="B122" t="s">
        <v>647</v>
      </c>
      <c r="C122" t="s">
        <v>91</v>
      </c>
      <c r="D122" t="s">
        <v>120</v>
      </c>
    </row>
    <row r="123" spans="1:5" x14ac:dyDescent="0.3">
      <c r="A123" s="46" t="s">
        <v>886</v>
      </c>
      <c r="B123" s="43" t="s">
        <v>950</v>
      </c>
      <c r="C123" s="43" t="s">
        <v>91</v>
      </c>
      <c r="D123" s="43" t="s">
        <v>120</v>
      </c>
      <c r="E123" s="43" t="s">
        <v>848</v>
      </c>
    </row>
    <row r="124" spans="1:5" s="44" customFormat="1" x14ac:dyDescent="0.3">
      <c r="A124" s="41" t="s">
        <v>942</v>
      </c>
      <c r="B124" s="41" t="s">
        <v>949</v>
      </c>
      <c r="C124" t="s">
        <v>91</v>
      </c>
      <c r="D124" t="s">
        <v>121</v>
      </c>
    </row>
    <row r="125" spans="1:5" x14ac:dyDescent="0.3">
      <c r="A125" s="41" t="s">
        <v>459</v>
      </c>
      <c r="B125" t="s">
        <v>458</v>
      </c>
      <c r="C125" t="s">
        <v>91</v>
      </c>
      <c r="D125" t="s">
        <v>121</v>
      </c>
      <c r="E125" s="47" t="s">
        <v>1</v>
      </c>
    </row>
    <row r="126" spans="1:5" x14ac:dyDescent="0.3">
      <c r="A126" s="41" t="s">
        <v>386</v>
      </c>
      <c r="B126" t="s">
        <v>385</v>
      </c>
      <c r="C126" t="s">
        <v>91</v>
      </c>
      <c r="D126" t="s">
        <v>121</v>
      </c>
    </row>
    <row r="127" spans="1:5" x14ac:dyDescent="0.3">
      <c r="A127" s="41" t="s">
        <v>383</v>
      </c>
      <c r="B127" t="s">
        <v>382</v>
      </c>
      <c r="C127" t="s">
        <v>91</v>
      </c>
      <c r="D127" t="s">
        <v>122</v>
      </c>
    </row>
    <row r="128" spans="1:5" x14ac:dyDescent="0.3">
      <c r="A128" s="41" t="s">
        <v>380</v>
      </c>
      <c r="B128" t="s">
        <v>379</v>
      </c>
      <c r="C128" t="s">
        <v>91</v>
      </c>
      <c r="D128" t="s">
        <v>122</v>
      </c>
    </row>
    <row r="129" spans="1:5" x14ac:dyDescent="0.3">
      <c r="A129" s="41" t="s">
        <v>641</v>
      </c>
      <c r="B129" t="s">
        <v>640</v>
      </c>
      <c r="C129" t="s">
        <v>91</v>
      </c>
      <c r="D129" t="s">
        <v>122</v>
      </c>
    </row>
    <row r="130" spans="1:5" x14ac:dyDescent="0.3">
      <c r="A130" s="41" t="s">
        <v>631</v>
      </c>
      <c r="B130" t="s">
        <v>630</v>
      </c>
      <c r="C130" t="s">
        <v>91</v>
      </c>
      <c r="D130" t="s">
        <v>122</v>
      </c>
    </row>
    <row r="131" spans="1:5" x14ac:dyDescent="0.3">
      <c r="A131" s="42" t="s">
        <v>628</v>
      </c>
      <c r="B131" s="44" t="s">
        <v>627</v>
      </c>
      <c r="C131" s="44" t="s">
        <v>91</v>
      </c>
      <c r="D131" s="44" t="s">
        <v>122</v>
      </c>
      <c r="E131" s="44" t="s">
        <v>848</v>
      </c>
    </row>
    <row r="132" spans="1:5" x14ac:dyDescent="0.3">
      <c r="A132" s="41" t="s">
        <v>378</v>
      </c>
      <c r="B132" t="s">
        <v>377</v>
      </c>
      <c r="C132" t="s">
        <v>91</v>
      </c>
      <c r="D132" t="s">
        <v>122</v>
      </c>
    </row>
    <row r="133" spans="1:5" x14ac:dyDescent="0.3">
      <c r="A133" s="41" t="s">
        <v>375</v>
      </c>
      <c r="B133" t="s">
        <v>123</v>
      </c>
      <c r="C133" t="s">
        <v>91</v>
      </c>
      <c r="D133" t="s">
        <v>123</v>
      </c>
    </row>
    <row r="134" spans="1:5" x14ac:dyDescent="0.3">
      <c r="A134" s="41" t="s">
        <v>374</v>
      </c>
      <c r="B134" t="s">
        <v>124</v>
      </c>
      <c r="C134" t="s">
        <v>91</v>
      </c>
      <c r="D134" t="s">
        <v>124</v>
      </c>
    </row>
    <row r="135" spans="1:5" x14ac:dyDescent="0.3">
      <c r="A135" s="41" t="s">
        <v>372</v>
      </c>
      <c r="B135" t="s">
        <v>371</v>
      </c>
      <c r="C135" t="s">
        <v>91</v>
      </c>
      <c r="D135" t="s">
        <v>371</v>
      </c>
    </row>
    <row r="136" spans="1:5" x14ac:dyDescent="0.3">
      <c r="A136" s="41" t="s">
        <v>623</v>
      </c>
      <c r="B136" t="s">
        <v>125</v>
      </c>
      <c r="C136" t="s">
        <v>91</v>
      </c>
      <c r="D136" t="s">
        <v>125</v>
      </c>
    </row>
    <row r="137" spans="1:5" x14ac:dyDescent="0.3">
      <c r="A137" s="41" t="s">
        <v>366</v>
      </c>
      <c r="B137" t="s">
        <v>126</v>
      </c>
      <c r="C137" t="s">
        <v>91</v>
      </c>
      <c r="D137" t="s">
        <v>126</v>
      </c>
    </row>
    <row r="138" spans="1:5" x14ac:dyDescent="0.3">
      <c r="A138" s="41" t="s">
        <v>363</v>
      </c>
      <c r="B138" t="s">
        <v>127</v>
      </c>
      <c r="C138" t="s">
        <v>91</v>
      </c>
      <c r="D138" t="s">
        <v>127</v>
      </c>
    </row>
  </sheetData>
  <pageMargins left="0.7" right="0.7" top="0.75" bottom="0.75" header="0.3" footer="0.3"/>
  <pageSetup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51"/>
  <sheetViews>
    <sheetView topLeftCell="A52" zoomScaleNormal="100" workbookViewId="0">
      <selection activeCell="D58" sqref="D58"/>
    </sheetView>
  </sheetViews>
  <sheetFormatPr defaultRowHeight="10.199999999999999" x14ac:dyDescent="0.2"/>
  <cols>
    <col min="1" max="1" width="21.6640625" style="2" customWidth="1"/>
    <col min="2" max="2" width="18.109375" style="2" customWidth="1"/>
    <col min="3" max="3" width="48.6640625" style="2" bestFit="1" customWidth="1"/>
    <col min="4" max="5" width="13.44140625" style="2" customWidth="1"/>
    <col min="6" max="9" width="13.6640625" style="2" customWidth="1"/>
    <col min="10" max="10" width="13.44140625" style="2" customWidth="1"/>
    <col min="11" max="11" width="8.33203125" style="3" bestFit="1" customWidth="1"/>
    <col min="12" max="14" width="9.109375" style="2"/>
    <col min="15" max="15" width="41.88671875" style="2" bestFit="1" customWidth="1"/>
    <col min="16" max="224" width="9.109375" style="2"/>
    <col min="225" max="226" width="15.5546875" style="2" customWidth="1"/>
    <col min="227" max="227" width="59.44140625" style="2" customWidth="1"/>
    <col min="228" max="229" width="15.5546875" style="2" customWidth="1"/>
    <col min="230" max="230" width="9.5546875" style="2" bestFit="1" customWidth="1"/>
    <col min="231" max="231" width="15.44140625" style="2" customWidth="1"/>
    <col min="232" max="232" width="16.44140625" style="2" customWidth="1"/>
    <col min="233" max="233" width="9.109375" style="2"/>
    <col min="234" max="234" width="11.6640625" style="2" bestFit="1" customWidth="1"/>
    <col min="235" max="235" width="12.33203125" style="2" bestFit="1" customWidth="1"/>
    <col min="236" max="480" width="9.109375" style="2"/>
    <col min="481" max="482" width="15.5546875" style="2" customWidth="1"/>
    <col min="483" max="483" width="59.44140625" style="2" customWidth="1"/>
    <col min="484" max="485" width="15.5546875" style="2" customWidth="1"/>
    <col min="486" max="486" width="9.5546875" style="2" bestFit="1" customWidth="1"/>
    <col min="487" max="487" width="15.44140625" style="2" customWidth="1"/>
    <col min="488" max="488" width="16.44140625" style="2" customWidth="1"/>
    <col min="489" max="489" width="9.109375" style="2"/>
    <col min="490" max="490" width="11.6640625" style="2" bestFit="1" customWidth="1"/>
    <col min="491" max="491" width="12.33203125" style="2" bestFit="1" customWidth="1"/>
    <col min="492" max="736" width="9.109375" style="2"/>
    <col min="737" max="738" width="15.5546875" style="2" customWidth="1"/>
    <col min="739" max="739" width="59.44140625" style="2" customWidth="1"/>
    <col min="740" max="741" width="15.5546875" style="2" customWidth="1"/>
    <col min="742" max="742" width="9.5546875" style="2" bestFit="1" customWidth="1"/>
    <col min="743" max="743" width="15.44140625" style="2" customWidth="1"/>
    <col min="744" max="744" width="16.44140625" style="2" customWidth="1"/>
    <col min="745" max="745" width="9.109375" style="2"/>
    <col min="746" max="746" width="11.6640625" style="2" bestFit="1" customWidth="1"/>
    <col min="747" max="747" width="12.33203125" style="2" bestFit="1" customWidth="1"/>
    <col min="748" max="992" width="9.109375" style="2"/>
    <col min="993" max="994" width="15.5546875" style="2" customWidth="1"/>
    <col min="995" max="995" width="59.44140625" style="2" customWidth="1"/>
    <col min="996" max="997" width="15.5546875" style="2" customWidth="1"/>
    <col min="998" max="998" width="9.5546875" style="2" bestFit="1" customWidth="1"/>
    <col min="999" max="999" width="15.44140625" style="2" customWidth="1"/>
    <col min="1000" max="1000" width="16.44140625" style="2" customWidth="1"/>
    <col min="1001" max="1001" width="9.109375" style="2"/>
    <col min="1002" max="1002" width="11.6640625" style="2" bestFit="1" customWidth="1"/>
    <col min="1003" max="1003" width="12.33203125" style="2" bestFit="1" customWidth="1"/>
    <col min="1004" max="1248" width="9.109375" style="2"/>
    <col min="1249" max="1250" width="15.5546875" style="2" customWidth="1"/>
    <col min="1251" max="1251" width="59.44140625" style="2" customWidth="1"/>
    <col min="1252" max="1253" width="15.5546875" style="2" customWidth="1"/>
    <col min="1254" max="1254" width="9.5546875" style="2" bestFit="1" customWidth="1"/>
    <col min="1255" max="1255" width="15.44140625" style="2" customWidth="1"/>
    <col min="1256" max="1256" width="16.44140625" style="2" customWidth="1"/>
    <col min="1257" max="1257" width="9.109375" style="2"/>
    <col min="1258" max="1258" width="11.6640625" style="2" bestFit="1" customWidth="1"/>
    <col min="1259" max="1259" width="12.33203125" style="2" bestFit="1" customWidth="1"/>
    <col min="1260" max="1504" width="9.109375" style="2"/>
    <col min="1505" max="1506" width="15.5546875" style="2" customWidth="1"/>
    <col min="1507" max="1507" width="59.44140625" style="2" customWidth="1"/>
    <col min="1508" max="1509" width="15.5546875" style="2" customWidth="1"/>
    <col min="1510" max="1510" width="9.5546875" style="2" bestFit="1" customWidth="1"/>
    <col min="1511" max="1511" width="15.44140625" style="2" customWidth="1"/>
    <col min="1512" max="1512" width="16.44140625" style="2" customWidth="1"/>
    <col min="1513" max="1513" width="9.109375" style="2"/>
    <col min="1514" max="1514" width="11.6640625" style="2" bestFit="1" customWidth="1"/>
    <col min="1515" max="1515" width="12.33203125" style="2" bestFit="1" customWidth="1"/>
    <col min="1516" max="1760" width="9.109375" style="2"/>
    <col min="1761" max="1762" width="15.5546875" style="2" customWidth="1"/>
    <col min="1763" max="1763" width="59.44140625" style="2" customWidth="1"/>
    <col min="1764" max="1765" width="15.5546875" style="2" customWidth="1"/>
    <col min="1766" max="1766" width="9.5546875" style="2" bestFit="1" customWidth="1"/>
    <col min="1767" max="1767" width="15.44140625" style="2" customWidth="1"/>
    <col min="1768" max="1768" width="16.44140625" style="2" customWidth="1"/>
    <col min="1769" max="1769" width="9.109375" style="2"/>
    <col min="1770" max="1770" width="11.6640625" style="2" bestFit="1" customWidth="1"/>
    <col min="1771" max="1771" width="12.33203125" style="2" bestFit="1" customWidth="1"/>
    <col min="1772" max="2016" width="9.109375" style="2"/>
    <col min="2017" max="2018" width="15.5546875" style="2" customWidth="1"/>
    <col min="2019" max="2019" width="59.44140625" style="2" customWidth="1"/>
    <col min="2020" max="2021" width="15.5546875" style="2" customWidth="1"/>
    <col min="2022" max="2022" width="9.5546875" style="2" bestFit="1" customWidth="1"/>
    <col min="2023" max="2023" width="15.44140625" style="2" customWidth="1"/>
    <col min="2024" max="2024" width="16.44140625" style="2" customWidth="1"/>
    <col min="2025" max="2025" width="9.109375" style="2"/>
    <col min="2026" max="2026" width="11.6640625" style="2" bestFit="1" customWidth="1"/>
    <col min="2027" max="2027" width="12.33203125" style="2" bestFit="1" customWidth="1"/>
    <col min="2028" max="2272" width="9.109375" style="2"/>
    <col min="2273" max="2274" width="15.5546875" style="2" customWidth="1"/>
    <col min="2275" max="2275" width="59.44140625" style="2" customWidth="1"/>
    <col min="2276" max="2277" width="15.5546875" style="2" customWidth="1"/>
    <col min="2278" max="2278" width="9.5546875" style="2" bestFit="1" customWidth="1"/>
    <col min="2279" max="2279" width="15.44140625" style="2" customWidth="1"/>
    <col min="2280" max="2280" width="16.44140625" style="2" customWidth="1"/>
    <col min="2281" max="2281" width="9.109375" style="2"/>
    <col min="2282" max="2282" width="11.6640625" style="2" bestFit="1" customWidth="1"/>
    <col min="2283" max="2283" width="12.33203125" style="2" bestFit="1" customWidth="1"/>
    <col min="2284" max="2528" width="9.109375" style="2"/>
    <col min="2529" max="2530" width="15.5546875" style="2" customWidth="1"/>
    <col min="2531" max="2531" width="59.44140625" style="2" customWidth="1"/>
    <col min="2532" max="2533" width="15.5546875" style="2" customWidth="1"/>
    <col min="2534" max="2534" width="9.5546875" style="2" bestFit="1" customWidth="1"/>
    <col min="2535" max="2535" width="15.44140625" style="2" customWidth="1"/>
    <col min="2536" max="2536" width="16.44140625" style="2" customWidth="1"/>
    <col min="2537" max="2537" width="9.109375" style="2"/>
    <col min="2538" max="2538" width="11.6640625" style="2" bestFit="1" customWidth="1"/>
    <col min="2539" max="2539" width="12.33203125" style="2" bestFit="1" customWidth="1"/>
    <col min="2540" max="2784" width="9.109375" style="2"/>
    <col min="2785" max="2786" width="15.5546875" style="2" customWidth="1"/>
    <col min="2787" max="2787" width="59.44140625" style="2" customWidth="1"/>
    <col min="2788" max="2789" width="15.5546875" style="2" customWidth="1"/>
    <col min="2790" max="2790" width="9.5546875" style="2" bestFit="1" customWidth="1"/>
    <col min="2791" max="2791" width="15.44140625" style="2" customWidth="1"/>
    <col min="2792" max="2792" width="16.44140625" style="2" customWidth="1"/>
    <col min="2793" max="2793" width="9.109375" style="2"/>
    <col min="2794" max="2794" width="11.6640625" style="2" bestFit="1" customWidth="1"/>
    <col min="2795" max="2795" width="12.33203125" style="2" bestFit="1" customWidth="1"/>
    <col min="2796" max="3040" width="9.109375" style="2"/>
    <col min="3041" max="3042" width="15.5546875" style="2" customWidth="1"/>
    <col min="3043" max="3043" width="59.44140625" style="2" customWidth="1"/>
    <col min="3044" max="3045" width="15.5546875" style="2" customWidth="1"/>
    <col min="3046" max="3046" width="9.5546875" style="2" bestFit="1" customWidth="1"/>
    <col min="3047" max="3047" width="15.44140625" style="2" customWidth="1"/>
    <col min="3048" max="3048" width="16.44140625" style="2" customWidth="1"/>
    <col min="3049" max="3049" width="9.109375" style="2"/>
    <col min="3050" max="3050" width="11.6640625" style="2" bestFit="1" customWidth="1"/>
    <col min="3051" max="3051" width="12.33203125" style="2" bestFit="1" customWidth="1"/>
    <col min="3052" max="3296" width="9.109375" style="2"/>
    <col min="3297" max="3298" width="15.5546875" style="2" customWidth="1"/>
    <col min="3299" max="3299" width="59.44140625" style="2" customWidth="1"/>
    <col min="3300" max="3301" width="15.5546875" style="2" customWidth="1"/>
    <col min="3302" max="3302" width="9.5546875" style="2" bestFit="1" customWidth="1"/>
    <col min="3303" max="3303" width="15.44140625" style="2" customWidth="1"/>
    <col min="3304" max="3304" width="16.44140625" style="2" customWidth="1"/>
    <col min="3305" max="3305" width="9.109375" style="2"/>
    <col min="3306" max="3306" width="11.6640625" style="2" bestFit="1" customWidth="1"/>
    <col min="3307" max="3307" width="12.33203125" style="2" bestFit="1" customWidth="1"/>
    <col min="3308" max="3552" width="9.109375" style="2"/>
    <col min="3553" max="3554" width="15.5546875" style="2" customWidth="1"/>
    <col min="3555" max="3555" width="59.44140625" style="2" customWidth="1"/>
    <col min="3556" max="3557" width="15.5546875" style="2" customWidth="1"/>
    <col min="3558" max="3558" width="9.5546875" style="2" bestFit="1" customWidth="1"/>
    <col min="3559" max="3559" width="15.44140625" style="2" customWidth="1"/>
    <col min="3560" max="3560" width="16.44140625" style="2" customWidth="1"/>
    <col min="3561" max="3561" width="9.109375" style="2"/>
    <col min="3562" max="3562" width="11.6640625" style="2" bestFit="1" customWidth="1"/>
    <col min="3563" max="3563" width="12.33203125" style="2" bestFit="1" customWidth="1"/>
    <col min="3564" max="3808" width="9.109375" style="2"/>
    <col min="3809" max="3810" width="15.5546875" style="2" customWidth="1"/>
    <col min="3811" max="3811" width="59.44140625" style="2" customWidth="1"/>
    <col min="3812" max="3813" width="15.5546875" style="2" customWidth="1"/>
    <col min="3814" max="3814" width="9.5546875" style="2" bestFit="1" customWidth="1"/>
    <col min="3815" max="3815" width="15.44140625" style="2" customWidth="1"/>
    <col min="3816" max="3816" width="16.44140625" style="2" customWidth="1"/>
    <col min="3817" max="3817" width="9.109375" style="2"/>
    <col min="3818" max="3818" width="11.6640625" style="2" bestFit="1" customWidth="1"/>
    <col min="3819" max="3819" width="12.33203125" style="2" bestFit="1" customWidth="1"/>
    <col min="3820" max="4064" width="9.109375" style="2"/>
    <col min="4065" max="4066" width="15.5546875" style="2" customWidth="1"/>
    <col min="4067" max="4067" width="59.44140625" style="2" customWidth="1"/>
    <col min="4068" max="4069" width="15.5546875" style="2" customWidth="1"/>
    <col min="4070" max="4070" width="9.5546875" style="2" bestFit="1" customWidth="1"/>
    <col min="4071" max="4071" width="15.44140625" style="2" customWidth="1"/>
    <col min="4072" max="4072" width="16.44140625" style="2" customWidth="1"/>
    <col min="4073" max="4073" width="9.109375" style="2"/>
    <col min="4074" max="4074" width="11.6640625" style="2" bestFit="1" customWidth="1"/>
    <col min="4075" max="4075" width="12.33203125" style="2" bestFit="1" customWidth="1"/>
    <col min="4076" max="4320" width="9.109375" style="2"/>
    <col min="4321" max="4322" width="15.5546875" style="2" customWidth="1"/>
    <col min="4323" max="4323" width="59.44140625" style="2" customWidth="1"/>
    <col min="4324" max="4325" width="15.5546875" style="2" customWidth="1"/>
    <col min="4326" max="4326" width="9.5546875" style="2" bestFit="1" customWidth="1"/>
    <col min="4327" max="4327" width="15.44140625" style="2" customWidth="1"/>
    <col min="4328" max="4328" width="16.44140625" style="2" customWidth="1"/>
    <col min="4329" max="4329" width="9.109375" style="2"/>
    <col min="4330" max="4330" width="11.6640625" style="2" bestFit="1" customWidth="1"/>
    <col min="4331" max="4331" width="12.33203125" style="2" bestFit="1" customWidth="1"/>
    <col min="4332" max="4576" width="9.109375" style="2"/>
    <col min="4577" max="4578" width="15.5546875" style="2" customWidth="1"/>
    <col min="4579" max="4579" width="59.44140625" style="2" customWidth="1"/>
    <col min="4580" max="4581" width="15.5546875" style="2" customWidth="1"/>
    <col min="4582" max="4582" width="9.5546875" style="2" bestFit="1" customWidth="1"/>
    <col min="4583" max="4583" width="15.44140625" style="2" customWidth="1"/>
    <col min="4584" max="4584" width="16.44140625" style="2" customWidth="1"/>
    <col min="4585" max="4585" width="9.109375" style="2"/>
    <col min="4586" max="4586" width="11.6640625" style="2" bestFit="1" customWidth="1"/>
    <col min="4587" max="4587" width="12.33203125" style="2" bestFit="1" customWidth="1"/>
    <col min="4588" max="4832" width="9.109375" style="2"/>
    <col min="4833" max="4834" width="15.5546875" style="2" customWidth="1"/>
    <col min="4835" max="4835" width="59.44140625" style="2" customWidth="1"/>
    <col min="4836" max="4837" width="15.5546875" style="2" customWidth="1"/>
    <col min="4838" max="4838" width="9.5546875" style="2" bestFit="1" customWidth="1"/>
    <col min="4839" max="4839" width="15.44140625" style="2" customWidth="1"/>
    <col min="4840" max="4840" width="16.44140625" style="2" customWidth="1"/>
    <col min="4841" max="4841" width="9.109375" style="2"/>
    <col min="4842" max="4842" width="11.6640625" style="2" bestFit="1" customWidth="1"/>
    <col min="4843" max="4843" width="12.33203125" style="2" bestFit="1" customWidth="1"/>
    <col min="4844" max="5088" width="9.109375" style="2"/>
    <col min="5089" max="5090" width="15.5546875" style="2" customWidth="1"/>
    <col min="5091" max="5091" width="59.44140625" style="2" customWidth="1"/>
    <col min="5092" max="5093" width="15.5546875" style="2" customWidth="1"/>
    <col min="5094" max="5094" width="9.5546875" style="2" bestFit="1" customWidth="1"/>
    <col min="5095" max="5095" width="15.44140625" style="2" customWidth="1"/>
    <col min="5096" max="5096" width="16.44140625" style="2" customWidth="1"/>
    <col min="5097" max="5097" width="9.109375" style="2"/>
    <col min="5098" max="5098" width="11.6640625" style="2" bestFit="1" customWidth="1"/>
    <col min="5099" max="5099" width="12.33203125" style="2" bestFit="1" customWidth="1"/>
    <col min="5100" max="5344" width="9.109375" style="2"/>
    <col min="5345" max="5346" width="15.5546875" style="2" customWidth="1"/>
    <col min="5347" max="5347" width="59.44140625" style="2" customWidth="1"/>
    <col min="5348" max="5349" width="15.5546875" style="2" customWidth="1"/>
    <col min="5350" max="5350" width="9.5546875" style="2" bestFit="1" customWidth="1"/>
    <col min="5351" max="5351" width="15.44140625" style="2" customWidth="1"/>
    <col min="5352" max="5352" width="16.44140625" style="2" customWidth="1"/>
    <col min="5353" max="5353" width="9.109375" style="2"/>
    <col min="5354" max="5354" width="11.6640625" style="2" bestFit="1" customWidth="1"/>
    <col min="5355" max="5355" width="12.33203125" style="2" bestFit="1" customWidth="1"/>
    <col min="5356" max="5600" width="9.109375" style="2"/>
    <col min="5601" max="5602" width="15.5546875" style="2" customWidth="1"/>
    <col min="5603" max="5603" width="59.44140625" style="2" customWidth="1"/>
    <col min="5604" max="5605" width="15.5546875" style="2" customWidth="1"/>
    <col min="5606" max="5606" width="9.5546875" style="2" bestFit="1" customWidth="1"/>
    <col min="5607" max="5607" width="15.44140625" style="2" customWidth="1"/>
    <col min="5608" max="5608" width="16.44140625" style="2" customWidth="1"/>
    <col min="5609" max="5609" width="9.109375" style="2"/>
    <col min="5610" max="5610" width="11.6640625" style="2" bestFit="1" customWidth="1"/>
    <col min="5611" max="5611" width="12.33203125" style="2" bestFit="1" customWidth="1"/>
    <col min="5612" max="5856" width="9.109375" style="2"/>
    <col min="5857" max="5858" width="15.5546875" style="2" customWidth="1"/>
    <col min="5859" max="5859" width="59.44140625" style="2" customWidth="1"/>
    <col min="5860" max="5861" width="15.5546875" style="2" customWidth="1"/>
    <col min="5862" max="5862" width="9.5546875" style="2" bestFit="1" customWidth="1"/>
    <col min="5863" max="5863" width="15.44140625" style="2" customWidth="1"/>
    <col min="5864" max="5864" width="16.44140625" style="2" customWidth="1"/>
    <col min="5865" max="5865" width="9.109375" style="2"/>
    <col min="5866" max="5866" width="11.6640625" style="2" bestFit="1" customWidth="1"/>
    <col min="5867" max="5867" width="12.33203125" style="2" bestFit="1" customWidth="1"/>
    <col min="5868" max="6112" width="9.109375" style="2"/>
    <col min="6113" max="6114" width="15.5546875" style="2" customWidth="1"/>
    <col min="6115" max="6115" width="59.44140625" style="2" customWidth="1"/>
    <col min="6116" max="6117" width="15.5546875" style="2" customWidth="1"/>
    <col min="6118" max="6118" width="9.5546875" style="2" bestFit="1" customWidth="1"/>
    <col min="6119" max="6119" width="15.44140625" style="2" customWidth="1"/>
    <col min="6120" max="6120" width="16.44140625" style="2" customWidth="1"/>
    <col min="6121" max="6121" width="9.109375" style="2"/>
    <col min="6122" max="6122" width="11.6640625" style="2" bestFit="1" customWidth="1"/>
    <col min="6123" max="6123" width="12.33203125" style="2" bestFit="1" customWidth="1"/>
    <col min="6124" max="6368" width="9.109375" style="2"/>
    <col min="6369" max="6370" width="15.5546875" style="2" customWidth="1"/>
    <col min="6371" max="6371" width="59.44140625" style="2" customWidth="1"/>
    <col min="6372" max="6373" width="15.5546875" style="2" customWidth="1"/>
    <col min="6374" max="6374" width="9.5546875" style="2" bestFit="1" customWidth="1"/>
    <col min="6375" max="6375" width="15.44140625" style="2" customWidth="1"/>
    <col min="6376" max="6376" width="16.44140625" style="2" customWidth="1"/>
    <col min="6377" max="6377" width="9.109375" style="2"/>
    <col min="6378" max="6378" width="11.6640625" style="2" bestFit="1" customWidth="1"/>
    <col min="6379" max="6379" width="12.33203125" style="2" bestFit="1" customWidth="1"/>
    <col min="6380" max="6624" width="9.109375" style="2"/>
    <col min="6625" max="6626" width="15.5546875" style="2" customWidth="1"/>
    <col min="6627" max="6627" width="59.44140625" style="2" customWidth="1"/>
    <col min="6628" max="6629" width="15.5546875" style="2" customWidth="1"/>
    <col min="6630" max="6630" width="9.5546875" style="2" bestFit="1" customWidth="1"/>
    <col min="6631" max="6631" width="15.44140625" style="2" customWidth="1"/>
    <col min="6632" max="6632" width="16.44140625" style="2" customWidth="1"/>
    <col min="6633" max="6633" width="9.109375" style="2"/>
    <col min="6634" max="6634" width="11.6640625" style="2" bestFit="1" customWidth="1"/>
    <col min="6635" max="6635" width="12.33203125" style="2" bestFit="1" customWidth="1"/>
    <col min="6636" max="6880" width="9.109375" style="2"/>
    <col min="6881" max="6882" width="15.5546875" style="2" customWidth="1"/>
    <col min="6883" max="6883" width="59.44140625" style="2" customWidth="1"/>
    <col min="6884" max="6885" width="15.5546875" style="2" customWidth="1"/>
    <col min="6886" max="6886" width="9.5546875" style="2" bestFit="1" customWidth="1"/>
    <col min="6887" max="6887" width="15.44140625" style="2" customWidth="1"/>
    <col min="6888" max="6888" width="16.44140625" style="2" customWidth="1"/>
    <col min="6889" max="6889" width="9.109375" style="2"/>
    <col min="6890" max="6890" width="11.6640625" style="2" bestFit="1" customWidth="1"/>
    <col min="6891" max="6891" width="12.33203125" style="2" bestFit="1" customWidth="1"/>
    <col min="6892" max="7136" width="9.109375" style="2"/>
    <col min="7137" max="7138" width="15.5546875" style="2" customWidth="1"/>
    <col min="7139" max="7139" width="59.44140625" style="2" customWidth="1"/>
    <col min="7140" max="7141" width="15.5546875" style="2" customWidth="1"/>
    <col min="7142" max="7142" width="9.5546875" style="2" bestFit="1" customWidth="1"/>
    <col min="7143" max="7143" width="15.44140625" style="2" customWidth="1"/>
    <col min="7144" max="7144" width="16.44140625" style="2" customWidth="1"/>
    <col min="7145" max="7145" width="9.109375" style="2"/>
    <col min="7146" max="7146" width="11.6640625" style="2" bestFit="1" customWidth="1"/>
    <col min="7147" max="7147" width="12.33203125" style="2" bestFit="1" customWidth="1"/>
    <col min="7148" max="7392" width="9.109375" style="2"/>
    <col min="7393" max="7394" width="15.5546875" style="2" customWidth="1"/>
    <col min="7395" max="7395" width="59.44140625" style="2" customWidth="1"/>
    <col min="7396" max="7397" width="15.5546875" style="2" customWidth="1"/>
    <col min="7398" max="7398" width="9.5546875" style="2" bestFit="1" customWidth="1"/>
    <col min="7399" max="7399" width="15.44140625" style="2" customWidth="1"/>
    <col min="7400" max="7400" width="16.44140625" style="2" customWidth="1"/>
    <col min="7401" max="7401" width="9.109375" style="2"/>
    <col min="7402" max="7402" width="11.6640625" style="2" bestFit="1" customWidth="1"/>
    <col min="7403" max="7403" width="12.33203125" style="2" bestFit="1" customWidth="1"/>
    <col min="7404" max="7648" width="9.109375" style="2"/>
    <col min="7649" max="7650" width="15.5546875" style="2" customWidth="1"/>
    <col min="7651" max="7651" width="59.44140625" style="2" customWidth="1"/>
    <col min="7652" max="7653" width="15.5546875" style="2" customWidth="1"/>
    <col min="7654" max="7654" width="9.5546875" style="2" bestFit="1" customWidth="1"/>
    <col min="7655" max="7655" width="15.44140625" style="2" customWidth="1"/>
    <col min="7656" max="7656" width="16.44140625" style="2" customWidth="1"/>
    <col min="7657" max="7657" width="9.109375" style="2"/>
    <col min="7658" max="7658" width="11.6640625" style="2" bestFit="1" customWidth="1"/>
    <col min="7659" max="7659" width="12.33203125" style="2" bestFit="1" customWidth="1"/>
    <col min="7660" max="7904" width="9.109375" style="2"/>
    <col min="7905" max="7906" width="15.5546875" style="2" customWidth="1"/>
    <col min="7907" max="7907" width="59.44140625" style="2" customWidth="1"/>
    <col min="7908" max="7909" width="15.5546875" style="2" customWidth="1"/>
    <col min="7910" max="7910" width="9.5546875" style="2" bestFit="1" customWidth="1"/>
    <col min="7911" max="7911" width="15.44140625" style="2" customWidth="1"/>
    <col min="7912" max="7912" width="16.44140625" style="2" customWidth="1"/>
    <col min="7913" max="7913" width="9.109375" style="2"/>
    <col min="7914" max="7914" width="11.6640625" style="2" bestFit="1" customWidth="1"/>
    <col min="7915" max="7915" width="12.33203125" style="2" bestFit="1" customWidth="1"/>
    <col min="7916" max="8160" width="9.109375" style="2"/>
    <col min="8161" max="8162" width="15.5546875" style="2" customWidth="1"/>
    <col min="8163" max="8163" width="59.44140625" style="2" customWidth="1"/>
    <col min="8164" max="8165" width="15.5546875" style="2" customWidth="1"/>
    <col min="8166" max="8166" width="9.5546875" style="2" bestFit="1" customWidth="1"/>
    <col min="8167" max="8167" width="15.44140625" style="2" customWidth="1"/>
    <col min="8168" max="8168" width="16.44140625" style="2" customWidth="1"/>
    <col min="8169" max="8169" width="9.109375" style="2"/>
    <col min="8170" max="8170" width="11.6640625" style="2" bestFit="1" customWidth="1"/>
    <col min="8171" max="8171" width="12.33203125" style="2" bestFit="1" customWidth="1"/>
    <col min="8172" max="8416" width="9.109375" style="2"/>
    <col min="8417" max="8418" width="15.5546875" style="2" customWidth="1"/>
    <col min="8419" max="8419" width="59.44140625" style="2" customWidth="1"/>
    <col min="8420" max="8421" width="15.5546875" style="2" customWidth="1"/>
    <col min="8422" max="8422" width="9.5546875" style="2" bestFit="1" customWidth="1"/>
    <col min="8423" max="8423" width="15.44140625" style="2" customWidth="1"/>
    <col min="8424" max="8424" width="16.44140625" style="2" customWidth="1"/>
    <col min="8425" max="8425" width="9.109375" style="2"/>
    <col min="8426" max="8426" width="11.6640625" style="2" bestFit="1" customWidth="1"/>
    <col min="8427" max="8427" width="12.33203125" style="2" bestFit="1" customWidth="1"/>
    <col min="8428" max="8672" width="9.109375" style="2"/>
    <col min="8673" max="8674" width="15.5546875" style="2" customWidth="1"/>
    <col min="8675" max="8675" width="59.44140625" style="2" customWidth="1"/>
    <col min="8676" max="8677" width="15.5546875" style="2" customWidth="1"/>
    <col min="8678" max="8678" width="9.5546875" style="2" bestFit="1" customWidth="1"/>
    <col min="8679" max="8679" width="15.44140625" style="2" customWidth="1"/>
    <col min="8680" max="8680" width="16.44140625" style="2" customWidth="1"/>
    <col min="8681" max="8681" width="9.109375" style="2"/>
    <col min="8682" max="8682" width="11.6640625" style="2" bestFit="1" customWidth="1"/>
    <col min="8683" max="8683" width="12.33203125" style="2" bestFit="1" customWidth="1"/>
    <col min="8684" max="8928" width="9.109375" style="2"/>
    <col min="8929" max="8930" width="15.5546875" style="2" customWidth="1"/>
    <col min="8931" max="8931" width="59.44140625" style="2" customWidth="1"/>
    <col min="8932" max="8933" width="15.5546875" style="2" customWidth="1"/>
    <col min="8934" max="8934" width="9.5546875" style="2" bestFit="1" customWidth="1"/>
    <col min="8935" max="8935" width="15.44140625" style="2" customWidth="1"/>
    <col min="8936" max="8936" width="16.44140625" style="2" customWidth="1"/>
    <col min="8937" max="8937" width="9.109375" style="2"/>
    <col min="8938" max="8938" width="11.6640625" style="2" bestFit="1" customWidth="1"/>
    <col min="8939" max="8939" width="12.33203125" style="2" bestFit="1" customWidth="1"/>
    <col min="8940" max="9184" width="9.109375" style="2"/>
    <col min="9185" max="9186" width="15.5546875" style="2" customWidth="1"/>
    <col min="9187" max="9187" width="59.44140625" style="2" customWidth="1"/>
    <col min="9188" max="9189" width="15.5546875" style="2" customWidth="1"/>
    <col min="9190" max="9190" width="9.5546875" style="2" bestFit="1" customWidth="1"/>
    <col min="9191" max="9191" width="15.44140625" style="2" customWidth="1"/>
    <col min="9192" max="9192" width="16.44140625" style="2" customWidth="1"/>
    <col min="9193" max="9193" width="9.109375" style="2"/>
    <col min="9194" max="9194" width="11.6640625" style="2" bestFit="1" customWidth="1"/>
    <col min="9195" max="9195" width="12.33203125" style="2" bestFit="1" customWidth="1"/>
    <col min="9196" max="9440" width="9.109375" style="2"/>
    <col min="9441" max="9442" width="15.5546875" style="2" customWidth="1"/>
    <col min="9443" max="9443" width="59.44140625" style="2" customWidth="1"/>
    <col min="9444" max="9445" width="15.5546875" style="2" customWidth="1"/>
    <col min="9446" max="9446" width="9.5546875" style="2" bestFit="1" customWidth="1"/>
    <col min="9447" max="9447" width="15.44140625" style="2" customWidth="1"/>
    <col min="9448" max="9448" width="16.44140625" style="2" customWidth="1"/>
    <col min="9449" max="9449" width="9.109375" style="2"/>
    <col min="9450" max="9450" width="11.6640625" style="2" bestFit="1" customWidth="1"/>
    <col min="9451" max="9451" width="12.33203125" style="2" bestFit="1" customWidth="1"/>
    <col min="9452" max="9696" width="9.109375" style="2"/>
    <col min="9697" max="9698" width="15.5546875" style="2" customWidth="1"/>
    <col min="9699" max="9699" width="59.44140625" style="2" customWidth="1"/>
    <col min="9700" max="9701" width="15.5546875" style="2" customWidth="1"/>
    <col min="9702" max="9702" width="9.5546875" style="2" bestFit="1" customWidth="1"/>
    <col min="9703" max="9703" width="15.44140625" style="2" customWidth="1"/>
    <col min="9704" max="9704" width="16.44140625" style="2" customWidth="1"/>
    <col min="9705" max="9705" width="9.109375" style="2"/>
    <col min="9706" max="9706" width="11.6640625" style="2" bestFit="1" customWidth="1"/>
    <col min="9707" max="9707" width="12.33203125" style="2" bestFit="1" customWidth="1"/>
    <col min="9708" max="9952" width="9.109375" style="2"/>
    <col min="9953" max="9954" width="15.5546875" style="2" customWidth="1"/>
    <col min="9955" max="9955" width="59.44140625" style="2" customWidth="1"/>
    <col min="9956" max="9957" width="15.5546875" style="2" customWidth="1"/>
    <col min="9958" max="9958" width="9.5546875" style="2" bestFit="1" customWidth="1"/>
    <col min="9959" max="9959" width="15.44140625" style="2" customWidth="1"/>
    <col min="9960" max="9960" width="16.44140625" style="2" customWidth="1"/>
    <col min="9961" max="9961" width="9.109375" style="2"/>
    <col min="9962" max="9962" width="11.6640625" style="2" bestFit="1" customWidth="1"/>
    <col min="9963" max="9963" width="12.33203125" style="2" bestFit="1" customWidth="1"/>
    <col min="9964" max="10208" width="9.109375" style="2"/>
    <col min="10209" max="10210" width="15.5546875" style="2" customWidth="1"/>
    <col min="10211" max="10211" width="59.44140625" style="2" customWidth="1"/>
    <col min="10212" max="10213" width="15.5546875" style="2" customWidth="1"/>
    <col min="10214" max="10214" width="9.5546875" style="2" bestFit="1" customWidth="1"/>
    <col min="10215" max="10215" width="15.44140625" style="2" customWidth="1"/>
    <col min="10216" max="10216" width="16.44140625" style="2" customWidth="1"/>
    <col min="10217" max="10217" width="9.109375" style="2"/>
    <col min="10218" max="10218" width="11.6640625" style="2" bestFit="1" customWidth="1"/>
    <col min="10219" max="10219" width="12.33203125" style="2" bestFit="1" customWidth="1"/>
    <col min="10220" max="10464" width="9.109375" style="2"/>
    <col min="10465" max="10466" width="15.5546875" style="2" customWidth="1"/>
    <col min="10467" max="10467" width="59.44140625" style="2" customWidth="1"/>
    <col min="10468" max="10469" width="15.5546875" style="2" customWidth="1"/>
    <col min="10470" max="10470" width="9.5546875" style="2" bestFit="1" customWidth="1"/>
    <col min="10471" max="10471" width="15.44140625" style="2" customWidth="1"/>
    <col min="10472" max="10472" width="16.44140625" style="2" customWidth="1"/>
    <col min="10473" max="10473" width="9.109375" style="2"/>
    <col min="10474" max="10474" width="11.6640625" style="2" bestFit="1" customWidth="1"/>
    <col min="10475" max="10475" width="12.33203125" style="2" bestFit="1" customWidth="1"/>
    <col min="10476" max="10720" width="9.109375" style="2"/>
    <col min="10721" max="10722" width="15.5546875" style="2" customWidth="1"/>
    <col min="10723" max="10723" width="59.44140625" style="2" customWidth="1"/>
    <col min="10724" max="10725" width="15.5546875" style="2" customWidth="1"/>
    <col min="10726" max="10726" width="9.5546875" style="2" bestFit="1" customWidth="1"/>
    <col min="10727" max="10727" width="15.44140625" style="2" customWidth="1"/>
    <col min="10728" max="10728" width="16.44140625" style="2" customWidth="1"/>
    <col min="10729" max="10729" width="9.109375" style="2"/>
    <col min="10730" max="10730" width="11.6640625" style="2" bestFit="1" customWidth="1"/>
    <col min="10731" max="10731" width="12.33203125" style="2" bestFit="1" customWidth="1"/>
    <col min="10732" max="10976" width="9.109375" style="2"/>
    <col min="10977" max="10978" width="15.5546875" style="2" customWidth="1"/>
    <col min="10979" max="10979" width="59.44140625" style="2" customWidth="1"/>
    <col min="10980" max="10981" width="15.5546875" style="2" customWidth="1"/>
    <col min="10982" max="10982" width="9.5546875" style="2" bestFit="1" customWidth="1"/>
    <col min="10983" max="10983" width="15.44140625" style="2" customWidth="1"/>
    <col min="10984" max="10984" width="16.44140625" style="2" customWidth="1"/>
    <col min="10985" max="10985" width="9.109375" style="2"/>
    <col min="10986" max="10986" width="11.6640625" style="2" bestFit="1" customWidth="1"/>
    <col min="10987" max="10987" width="12.33203125" style="2" bestFit="1" customWidth="1"/>
    <col min="10988" max="11232" width="9.109375" style="2"/>
    <col min="11233" max="11234" width="15.5546875" style="2" customWidth="1"/>
    <col min="11235" max="11235" width="59.44140625" style="2" customWidth="1"/>
    <col min="11236" max="11237" width="15.5546875" style="2" customWidth="1"/>
    <col min="11238" max="11238" width="9.5546875" style="2" bestFit="1" customWidth="1"/>
    <col min="11239" max="11239" width="15.44140625" style="2" customWidth="1"/>
    <col min="11240" max="11240" width="16.44140625" style="2" customWidth="1"/>
    <col min="11241" max="11241" width="9.109375" style="2"/>
    <col min="11242" max="11242" width="11.6640625" style="2" bestFit="1" customWidth="1"/>
    <col min="11243" max="11243" width="12.33203125" style="2" bestFit="1" customWidth="1"/>
    <col min="11244" max="11488" width="9.109375" style="2"/>
    <col min="11489" max="11490" width="15.5546875" style="2" customWidth="1"/>
    <col min="11491" max="11491" width="59.44140625" style="2" customWidth="1"/>
    <col min="11492" max="11493" width="15.5546875" style="2" customWidth="1"/>
    <col min="11494" max="11494" width="9.5546875" style="2" bestFit="1" customWidth="1"/>
    <col min="11495" max="11495" width="15.44140625" style="2" customWidth="1"/>
    <col min="11496" max="11496" width="16.44140625" style="2" customWidth="1"/>
    <col min="11497" max="11497" width="9.109375" style="2"/>
    <col min="11498" max="11498" width="11.6640625" style="2" bestFit="1" customWidth="1"/>
    <col min="11499" max="11499" width="12.33203125" style="2" bestFit="1" customWidth="1"/>
    <col min="11500" max="11744" width="9.109375" style="2"/>
    <col min="11745" max="11746" width="15.5546875" style="2" customWidth="1"/>
    <col min="11747" max="11747" width="59.44140625" style="2" customWidth="1"/>
    <col min="11748" max="11749" width="15.5546875" style="2" customWidth="1"/>
    <col min="11750" max="11750" width="9.5546875" style="2" bestFit="1" customWidth="1"/>
    <col min="11751" max="11751" width="15.44140625" style="2" customWidth="1"/>
    <col min="11752" max="11752" width="16.44140625" style="2" customWidth="1"/>
    <col min="11753" max="11753" width="9.109375" style="2"/>
    <col min="11754" max="11754" width="11.6640625" style="2" bestFit="1" customWidth="1"/>
    <col min="11755" max="11755" width="12.33203125" style="2" bestFit="1" customWidth="1"/>
    <col min="11756" max="12000" width="9.109375" style="2"/>
    <col min="12001" max="12002" width="15.5546875" style="2" customWidth="1"/>
    <col min="12003" max="12003" width="59.44140625" style="2" customWidth="1"/>
    <col min="12004" max="12005" width="15.5546875" style="2" customWidth="1"/>
    <col min="12006" max="12006" width="9.5546875" style="2" bestFit="1" customWidth="1"/>
    <col min="12007" max="12007" width="15.44140625" style="2" customWidth="1"/>
    <col min="12008" max="12008" width="16.44140625" style="2" customWidth="1"/>
    <col min="12009" max="12009" width="9.109375" style="2"/>
    <col min="12010" max="12010" width="11.6640625" style="2" bestFit="1" customWidth="1"/>
    <col min="12011" max="12011" width="12.33203125" style="2" bestFit="1" customWidth="1"/>
    <col min="12012" max="12256" width="9.109375" style="2"/>
    <col min="12257" max="12258" width="15.5546875" style="2" customWidth="1"/>
    <col min="12259" max="12259" width="59.44140625" style="2" customWidth="1"/>
    <col min="12260" max="12261" width="15.5546875" style="2" customWidth="1"/>
    <col min="12262" max="12262" width="9.5546875" style="2" bestFit="1" customWidth="1"/>
    <col min="12263" max="12263" width="15.44140625" style="2" customWidth="1"/>
    <col min="12264" max="12264" width="16.44140625" style="2" customWidth="1"/>
    <col min="12265" max="12265" width="9.109375" style="2"/>
    <col min="12266" max="12266" width="11.6640625" style="2" bestFit="1" customWidth="1"/>
    <col min="12267" max="12267" width="12.33203125" style="2" bestFit="1" customWidth="1"/>
    <col min="12268" max="12512" width="9.109375" style="2"/>
    <col min="12513" max="12514" width="15.5546875" style="2" customWidth="1"/>
    <col min="12515" max="12515" width="59.44140625" style="2" customWidth="1"/>
    <col min="12516" max="12517" width="15.5546875" style="2" customWidth="1"/>
    <col min="12518" max="12518" width="9.5546875" style="2" bestFit="1" customWidth="1"/>
    <col min="12519" max="12519" width="15.44140625" style="2" customWidth="1"/>
    <col min="12520" max="12520" width="16.44140625" style="2" customWidth="1"/>
    <col min="12521" max="12521" width="9.109375" style="2"/>
    <col min="12522" max="12522" width="11.6640625" style="2" bestFit="1" customWidth="1"/>
    <col min="12523" max="12523" width="12.33203125" style="2" bestFit="1" customWidth="1"/>
    <col min="12524" max="12768" width="9.109375" style="2"/>
    <col min="12769" max="12770" width="15.5546875" style="2" customWidth="1"/>
    <col min="12771" max="12771" width="59.44140625" style="2" customWidth="1"/>
    <col min="12772" max="12773" width="15.5546875" style="2" customWidth="1"/>
    <col min="12774" max="12774" width="9.5546875" style="2" bestFit="1" customWidth="1"/>
    <col min="12775" max="12775" width="15.44140625" style="2" customWidth="1"/>
    <col min="12776" max="12776" width="16.44140625" style="2" customWidth="1"/>
    <col min="12777" max="12777" width="9.109375" style="2"/>
    <col min="12778" max="12778" width="11.6640625" style="2" bestFit="1" customWidth="1"/>
    <col min="12779" max="12779" width="12.33203125" style="2" bestFit="1" customWidth="1"/>
    <col min="12780" max="13024" width="9.109375" style="2"/>
    <col min="13025" max="13026" width="15.5546875" style="2" customWidth="1"/>
    <col min="13027" max="13027" width="59.44140625" style="2" customWidth="1"/>
    <col min="13028" max="13029" width="15.5546875" style="2" customWidth="1"/>
    <col min="13030" max="13030" width="9.5546875" style="2" bestFit="1" customWidth="1"/>
    <col min="13031" max="13031" width="15.44140625" style="2" customWidth="1"/>
    <col min="13032" max="13032" width="16.44140625" style="2" customWidth="1"/>
    <col min="13033" max="13033" width="9.109375" style="2"/>
    <col min="13034" max="13034" width="11.6640625" style="2" bestFit="1" customWidth="1"/>
    <col min="13035" max="13035" width="12.33203125" style="2" bestFit="1" customWidth="1"/>
    <col min="13036" max="13280" width="9.109375" style="2"/>
    <col min="13281" max="13282" width="15.5546875" style="2" customWidth="1"/>
    <col min="13283" max="13283" width="59.44140625" style="2" customWidth="1"/>
    <col min="13284" max="13285" width="15.5546875" style="2" customWidth="1"/>
    <col min="13286" max="13286" width="9.5546875" style="2" bestFit="1" customWidth="1"/>
    <col min="13287" max="13287" width="15.44140625" style="2" customWidth="1"/>
    <col min="13288" max="13288" width="16.44140625" style="2" customWidth="1"/>
    <col min="13289" max="13289" width="9.109375" style="2"/>
    <col min="13290" max="13290" width="11.6640625" style="2" bestFit="1" customWidth="1"/>
    <col min="13291" max="13291" width="12.33203125" style="2" bestFit="1" customWidth="1"/>
    <col min="13292" max="13536" width="9.109375" style="2"/>
    <col min="13537" max="13538" width="15.5546875" style="2" customWidth="1"/>
    <col min="13539" max="13539" width="59.44140625" style="2" customWidth="1"/>
    <col min="13540" max="13541" width="15.5546875" style="2" customWidth="1"/>
    <col min="13542" max="13542" width="9.5546875" style="2" bestFit="1" customWidth="1"/>
    <col min="13543" max="13543" width="15.44140625" style="2" customWidth="1"/>
    <col min="13544" max="13544" width="16.44140625" style="2" customWidth="1"/>
    <col min="13545" max="13545" width="9.109375" style="2"/>
    <col min="13546" max="13546" width="11.6640625" style="2" bestFit="1" customWidth="1"/>
    <col min="13547" max="13547" width="12.33203125" style="2" bestFit="1" customWidth="1"/>
    <col min="13548" max="13792" width="9.109375" style="2"/>
    <col min="13793" max="13794" width="15.5546875" style="2" customWidth="1"/>
    <col min="13795" max="13795" width="59.44140625" style="2" customWidth="1"/>
    <col min="13796" max="13797" width="15.5546875" style="2" customWidth="1"/>
    <col min="13798" max="13798" width="9.5546875" style="2" bestFit="1" customWidth="1"/>
    <col min="13799" max="13799" width="15.44140625" style="2" customWidth="1"/>
    <col min="13800" max="13800" width="16.44140625" style="2" customWidth="1"/>
    <col min="13801" max="13801" width="9.109375" style="2"/>
    <col min="13802" max="13802" width="11.6640625" style="2" bestFit="1" customWidth="1"/>
    <col min="13803" max="13803" width="12.33203125" style="2" bestFit="1" customWidth="1"/>
    <col min="13804" max="14048" width="9.109375" style="2"/>
    <col min="14049" max="14050" width="15.5546875" style="2" customWidth="1"/>
    <col min="14051" max="14051" width="59.44140625" style="2" customWidth="1"/>
    <col min="14052" max="14053" width="15.5546875" style="2" customWidth="1"/>
    <col min="14054" max="14054" width="9.5546875" style="2" bestFit="1" customWidth="1"/>
    <col min="14055" max="14055" width="15.44140625" style="2" customWidth="1"/>
    <col min="14056" max="14056" width="16.44140625" style="2" customWidth="1"/>
    <col min="14057" max="14057" width="9.109375" style="2"/>
    <col min="14058" max="14058" width="11.6640625" style="2" bestFit="1" customWidth="1"/>
    <col min="14059" max="14059" width="12.33203125" style="2" bestFit="1" customWidth="1"/>
    <col min="14060" max="14304" width="9.109375" style="2"/>
    <col min="14305" max="14306" width="15.5546875" style="2" customWidth="1"/>
    <col min="14307" max="14307" width="59.44140625" style="2" customWidth="1"/>
    <col min="14308" max="14309" width="15.5546875" style="2" customWidth="1"/>
    <col min="14310" max="14310" width="9.5546875" style="2" bestFit="1" customWidth="1"/>
    <col min="14311" max="14311" width="15.44140625" style="2" customWidth="1"/>
    <col min="14312" max="14312" width="16.44140625" style="2" customWidth="1"/>
    <col min="14313" max="14313" width="9.109375" style="2"/>
    <col min="14314" max="14314" width="11.6640625" style="2" bestFit="1" customWidth="1"/>
    <col min="14315" max="14315" width="12.33203125" style="2" bestFit="1" customWidth="1"/>
    <col min="14316" max="14560" width="9.109375" style="2"/>
    <col min="14561" max="14562" width="15.5546875" style="2" customWidth="1"/>
    <col min="14563" max="14563" width="59.44140625" style="2" customWidth="1"/>
    <col min="14564" max="14565" width="15.5546875" style="2" customWidth="1"/>
    <col min="14566" max="14566" width="9.5546875" style="2" bestFit="1" customWidth="1"/>
    <col min="14567" max="14567" width="15.44140625" style="2" customWidth="1"/>
    <col min="14568" max="14568" width="16.44140625" style="2" customWidth="1"/>
    <col min="14569" max="14569" width="9.109375" style="2"/>
    <col min="14570" max="14570" width="11.6640625" style="2" bestFit="1" customWidth="1"/>
    <col min="14571" max="14571" width="12.33203125" style="2" bestFit="1" customWidth="1"/>
    <col min="14572" max="14816" width="9.109375" style="2"/>
    <col min="14817" max="14818" width="15.5546875" style="2" customWidth="1"/>
    <col min="14819" max="14819" width="59.44140625" style="2" customWidth="1"/>
    <col min="14820" max="14821" width="15.5546875" style="2" customWidth="1"/>
    <col min="14822" max="14822" width="9.5546875" style="2" bestFit="1" customWidth="1"/>
    <col min="14823" max="14823" width="15.44140625" style="2" customWidth="1"/>
    <col min="14824" max="14824" width="16.44140625" style="2" customWidth="1"/>
    <col min="14825" max="14825" width="9.109375" style="2"/>
    <col min="14826" max="14826" width="11.6640625" style="2" bestFit="1" customWidth="1"/>
    <col min="14827" max="14827" width="12.33203125" style="2" bestFit="1" customWidth="1"/>
    <col min="14828" max="15072" width="9.109375" style="2"/>
    <col min="15073" max="15074" width="15.5546875" style="2" customWidth="1"/>
    <col min="15075" max="15075" width="59.44140625" style="2" customWidth="1"/>
    <col min="15076" max="15077" width="15.5546875" style="2" customWidth="1"/>
    <col min="15078" max="15078" width="9.5546875" style="2" bestFit="1" customWidth="1"/>
    <col min="15079" max="15079" width="15.44140625" style="2" customWidth="1"/>
    <col min="15080" max="15080" width="16.44140625" style="2" customWidth="1"/>
    <col min="15081" max="15081" width="9.109375" style="2"/>
    <col min="15082" max="15082" width="11.6640625" style="2" bestFit="1" customWidth="1"/>
    <col min="15083" max="15083" width="12.33203125" style="2" bestFit="1" customWidth="1"/>
    <col min="15084" max="15328" width="9.109375" style="2"/>
    <col min="15329" max="15330" width="15.5546875" style="2" customWidth="1"/>
    <col min="15331" max="15331" width="59.44140625" style="2" customWidth="1"/>
    <col min="15332" max="15333" width="15.5546875" style="2" customWidth="1"/>
    <col min="15334" max="15334" width="9.5546875" style="2" bestFit="1" customWidth="1"/>
    <col min="15335" max="15335" width="15.44140625" style="2" customWidth="1"/>
    <col min="15336" max="15336" width="16.44140625" style="2" customWidth="1"/>
    <col min="15337" max="15337" width="9.109375" style="2"/>
    <col min="15338" max="15338" width="11.6640625" style="2" bestFit="1" customWidth="1"/>
    <col min="15339" max="15339" width="12.33203125" style="2" bestFit="1" customWidth="1"/>
    <col min="15340" max="15584" width="9.109375" style="2"/>
    <col min="15585" max="15586" width="15.5546875" style="2" customWidth="1"/>
    <col min="15587" max="15587" width="59.44140625" style="2" customWidth="1"/>
    <col min="15588" max="15589" width="15.5546875" style="2" customWidth="1"/>
    <col min="15590" max="15590" width="9.5546875" style="2" bestFit="1" customWidth="1"/>
    <col min="15591" max="15591" width="15.44140625" style="2" customWidth="1"/>
    <col min="15592" max="15592" width="16.44140625" style="2" customWidth="1"/>
    <col min="15593" max="15593" width="9.109375" style="2"/>
    <col min="15594" max="15594" width="11.6640625" style="2" bestFit="1" customWidth="1"/>
    <col min="15595" max="15595" width="12.33203125" style="2" bestFit="1" customWidth="1"/>
    <col min="15596" max="15840" width="9.109375" style="2"/>
    <col min="15841" max="15842" width="15.5546875" style="2" customWidth="1"/>
    <col min="15843" max="15843" width="59.44140625" style="2" customWidth="1"/>
    <col min="15844" max="15845" width="15.5546875" style="2" customWidth="1"/>
    <col min="15846" max="15846" width="9.5546875" style="2" bestFit="1" customWidth="1"/>
    <col min="15847" max="15847" width="15.44140625" style="2" customWidth="1"/>
    <col min="15848" max="15848" width="16.44140625" style="2" customWidth="1"/>
    <col min="15849" max="15849" width="9.109375" style="2"/>
    <col min="15850" max="15850" width="11.6640625" style="2" bestFit="1" customWidth="1"/>
    <col min="15851" max="15851" width="12.33203125" style="2" bestFit="1" customWidth="1"/>
    <col min="15852" max="16096" width="9.109375" style="2"/>
    <col min="16097" max="16098" width="15.5546875" style="2" customWidth="1"/>
    <col min="16099" max="16099" width="59.44140625" style="2" customWidth="1"/>
    <col min="16100" max="16101" width="15.5546875" style="2" customWidth="1"/>
    <col min="16102" max="16102" width="9.5546875" style="2" bestFit="1" customWidth="1"/>
    <col min="16103" max="16103" width="15.44140625" style="2" customWidth="1"/>
    <col min="16104" max="16104" width="16.44140625" style="2" customWidth="1"/>
    <col min="16105" max="16105" width="9.109375" style="2"/>
    <col min="16106" max="16106" width="11.6640625" style="2" bestFit="1" customWidth="1"/>
    <col min="16107" max="16107" width="12.33203125" style="2" bestFit="1" customWidth="1"/>
    <col min="16108" max="16384" width="9.109375" style="2"/>
  </cols>
  <sheetData>
    <row r="1" spans="1:12" x14ac:dyDescent="0.2">
      <c r="A1" s="1" t="s">
        <v>0</v>
      </c>
    </row>
    <row r="2" spans="1:12" x14ac:dyDescent="0.2">
      <c r="A2" s="1"/>
    </row>
    <row r="3" spans="1:12" ht="15" customHeight="1" x14ac:dyDescent="0.2">
      <c r="A3" s="2" t="s">
        <v>1</v>
      </c>
      <c r="D3" s="126">
        <v>2021</v>
      </c>
      <c r="E3" s="126"/>
      <c r="F3" s="4">
        <v>2022</v>
      </c>
      <c r="G3" s="4"/>
      <c r="H3" s="4"/>
      <c r="I3" s="4"/>
      <c r="J3" s="5" t="s">
        <v>1002</v>
      </c>
    </row>
    <row r="4" spans="1:12" ht="20.399999999999999" x14ac:dyDescent="0.2">
      <c r="A4" s="127" t="s">
        <v>2</v>
      </c>
      <c r="B4" s="127"/>
      <c r="C4" s="127"/>
      <c r="D4" s="6" t="s">
        <v>3</v>
      </c>
      <c r="E4" s="6" t="s">
        <v>4</v>
      </c>
      <c r="F4" s="6" t="s">
        <v>3</v>
      </c>
      <c r="G4" s="6" t="s">
        <v>989</v>
      </c>
      <c r="H4" s="6" t="s">
        <v>993</v>
      </c>
      <c r="I4" s="80" t="s">
        <v>987</v>
      </c>
      <c r="J4" s="6" t="s">
        <v>5</v>
      </c>
      <c r="K4" s="7" t="s">
        <v>6</v>
      </c>
    </row>
    <row r="5" spans="1:12" x14ac:dyDescent="0.2">
      <c r="A5" s="128" t="s">
        <v>7</v>
      </c>
      <c r="B5" s="127" t="s">
        <v>8</v>
      </c>
      <c r="C5" s="8" t="s">
        <v>9</v>
      </c>
      <c r="D5" s="9">
        <v>5184730.38</v>
      </c>
      <c r="E5" s="9"/>
      <c r="F5" s="9">
        <f>VLOOKUP(C5,Tulud!$A$4:$B$19,2,FALSE)</f>
        <v>5288424.9875999996</v>
      </c>
      <c r="G5" s="9">
        <f>VLOOKUP(C5,Tulud!$A$4:$C$19,3,FALSE)</f>
        <v>0</v>
      </c>
      <c r="H5" s="9">
        <f>VLOOKUP(C5,Tulud!$A$3:$D$19,4,FALSE)</f>
        <v>0</v>
      </c>
      <c r="I5" s="9">
        <f>SUM(F5:H5)</f>
        <v>5288424.9875999996</v>
      </c>
      <c r="J5" s="9">
        <f>F5-D5</f>
        <v>103694.60759999976</v>
      </c>
      <c r="K5" s="10">
        <f>(F5-D5)/D5</f>
        <v>1.9999999999999952E-2</v>
      </c>
    </row>
    <row r="6" spans="1:12" x14ac:dyDescent="0.2">
      <c r="A6" s="129"/>
      <c r="B6" s="127"/>
      <c r="C6" s="8" t="s">
        <v>10</v>
      </c>
      <c r="D6" s="9">
        <v>512000</v>
      </c>
      <c r="E6" s="9"/>
      <c r="F6" s="9">
        <f>VLOOKUP(C6,Tulud!$A$4:$B$19,2,FALSE)</f>
        <v>490000</v>
      </c>
      <c r="G6" s="9">
        <f>VLOOKUP(C6,Tulud!$A$4:$C$19,3,FALSE)</f>
        <v>0</v>
      </c>
      <c r="H6" s="9">
        <f>VLOOKUP(C6,Tulud!$A$3:$D$19,4,FALSE)</f>
        <v>0</v>
      </c>
      <c r="I6" s="9">
        <f>SUM(F6:H6)</f>
        <v>490000</v>
      </c>
      <c r="J6" s="9">
        <f>F6-D6</f>
        <v>-22000</v>
      </c>
      <c r="K6" s="10">
        <f>(F6-D6)/D6</f>
        <v>-4.296875E-2</v>
      </c>
    </row>
    <row r="7" spans="1:12" x14ac:dyDescent="0.2">
      <c r="A7" s="129"/>
      <c r="B7" s="127"/>
      <c r="C7" s="11" t="s">
        <v>11</v>
      </c>
      <c r="D7" s="12">
        <f>D5+D6</f>
        <v>5696730.3799999999</v>
      </c>
      <c r="E7" s="12">
        <f>E5+E6</f>
        <v>0</v>
      </c>
      <c r="F7" s="12">
        <f>F5+F6</f>
        <v>5778424.9875999996</v>
      </c>
      <c r="G7" s="12">
        <f>G5+G6</f>
        <v>0</v>
      </c>
      <c r="H7" s="12">
        <f>H5+H6</f>
        <v>0</v>
      </c>
      <c r="I7" s="12">
        <f t="shared" ref="I7:I12" si="0">SUM(F7:G7)</f>
        <v>5778424.9875999996</v>
      </c>
      <c r="J7" s="12">
        <f>F7-D7</f>
        <v>81694.607599999756</v>
      </c>
      <c r="K7" s="13">
        <f>(F7-D7)/D7</f>
        <v>1.4340613325638865E-2</v>
      </c>
      <c r="L7" s="2">
        <f>I7/I18</f>
        <v>0.48817741938214682</v>
      </c>
    </row>
    <row r="8" spans="1:12" x14ac:dyDescent="0.2">
      <c r="A8" s="129"/>
      <c r="C8" s="14" t="s">
        <v>12</v>
      </c>
      <c r="D8" s="12">
        <v>1354512.1300000001</v>
      </c>
      <c r="E8" s="12"/>
      <c r="F8" s="12">
        <f>VLOOKUP(C8,Tulud!$A$4:$B$19,2,FALSE)</f>
        <v>1620916.4100000001</v>
      </c>
      <c r="G8" s="12">
        <f>VLOOKUP(C8,Tulud!$A$4:$C$19,3,FALSE)</f>
        <v>0</v>
      </c>
      <c r="H8" s="12">
        <f>VLOOKUP(C8,Tulud!$A$3:$D$19,4,FALSE)</f>
        <v>0</v>
      </c>
      <c r="I8" s="12">
        <f>SUM(F8:H8)</f>
        <v>1620916.4100000001</v>
      </c>
      <c r="J8" s="12">
        <f t="shared" ref="J8:J97" si="1">F8-D8</f>
        <v>266404.28000000003</v>
      </c>
      <c r="K8" s="13">
        <f>(F8-D8)/D8</f>
        <v>0.1966791393739678</v>
      </c>
    </row>
    <row r="9" spans="1:12" x14ac:dyDescent="0.2">
      <c r="A9" s="129"/>
      <c r="B9" s="131" t="s">
        <v>13</v>
      </c>
      <c r="C9" s="8" t="s">
        <v>14</v>
      </c>
      <c r="D9" s="9">
        <v>1312402</v>
      </c>
      <c r="E9" s="9"/>
      <c r="F9" s="15">
        <f>VLOOKUP(C9,Tulud!$A$4:$B$19,2,FALSE)</f>
        <v>1376806</v>
      </c>
      <c r="G9" s="15">
        <f>VLOOKUP(C9,Tulud!$A$4:$C$19,3,FALSE)</f>
        <v>0</v>
      </c>
      <c r="H9" s="9">
        <f>VLOOKUP(C9,Tulud!$A$3:$D$19,4,FALSE)</f>
        <v>0</v>
      </c>
      <c r="I9" s="15">
        <f t="shared" ref="I9:I11" si="2">SUM(F9:H9)</f>
        <v>1376806</v>
      </c>
      <c r="J9" s="9">
        <f t="shared" si="1"/>
        <v>64404</v>
      </c>
      <c r="K9" s="10">
        <f t="shared" ref="K9:K97" si="3">(F9-D9)/D9</f>
        <v>4.907337843130382E-2</v>
      </c>
    </row>
    <row r="10" spans="1:12" x14ac:dyDescent="0.2">
      <c r="A10" s="129"/>
      <c r="B10" s="131"/>
      <c r="C10" s="8" t="s">
        <v>15</v>
      </c>
      <c r="D10" s="9">
        <v>3029449</v>
      </c>
      <c r="E10" s="9"/>
      <c r="F10" s="15">
        <f>VLOOKUP(C10,Tulud!$A$4:$B$19,2,FALSE)</f>
        <v>2984584</v>
      </c>
      <c r="G10" s="15">
        <f>VLOOKUP(C10,Tulud!$A$4:$C$19,3,FALSE)</f>
        <v>0</v>
      </c>
      <c r="H10" s="9">
        <f>VLOOKUP(C10,Tulud!$A$3:$D$19,4,FALSE)</f>
        <v>0</v>
      </c>
      <c r="I10" s="15">
        <f t="shared" si="2"/>
        <v>2984584</v>
      </c>
      <c r="J10" s="9">
        <f t="shared" si="1"/>
        <v>-44865</v>
      </c>
      <c r="K10" s="10">
        <f t="shared" si="3"/>
        <v>-1.4809623796274504E-2</v>
      </c>
    </row>
    <row r="11" spans="1:12" x14ac:dyDescent="0.2">
      <c r="A11" s="129"/>
      <c r="B11" s="131"/>
      <c r="C11" s="8" t="s">
        <v>16</v>
      </c>
      <c r="D11" s="9">
        <v>147847.93</v>
      </c>
      <c r="E11" s="9"/>
      <c r="F11" s="15">
        <f>VLOOKUP(C11,Tulud!$A$4:$B$19,2,FALSE)</f>
        <v>44000</v>
      </c>
      <c r="G11" s="15">
        <f>VLOOKUP(C11,Tulud!$A$4:$C$19,3,FALSE)</f>
        <v>0</v>
      </c>
      <c r="H11" s="9">
        <f>VLOOKUP(C11,Tulud!$A$3:$D$19,4,FALSE)</f>
        <v>0</v>
      </c>
      <c r="I11" s="15">
        <f t="shared" si="2"/>
        <v>44000</v>
      </c>
      <c r="J11" s="9">
        <f t="shared" si="1"/>
        <v>-103847.93</v>
      </c>
      <c r="K11" s="10">
        <f t="shared" si="3"/>
        <v>-0.70239691553341332</v>
      </c>
    </row>
    <row r="12" spans="1:12" x14ac:dyDescent="0.2">
      <c r="A12" s="129"/>
      <c r="B12" s="131"/>
      <c r="C12" s="11" t="s">
        <v>17</v>
      </c>
      <c r="D12" s="12">
        <f>SUM(D9:D11)</f>
        <v>4489698.93</v>
      </c>
      <c r="E12" s="12">
        <f>SUM(E9:E11)</f>
        <v>0</v>
      </c>
      <c r="F12" s="12">
        <f>SUM(F9:F11)</f>
        <v>4405390</v>
      </c>
      <c r="G12" s="12">
        <f>SUM(G9:G11)</f>
        <v>0</v>
      </c>
      <c r="H12" s="12">
        <f>SUM(H9:H11)</f>
        <v>0</v>
      </c>
      <c r="I12" s="12">
        <f t="shared" si="0"/>
        <v>4405390</v>
      </c>
      <c r="J12" s="12">
        <f t="shared" si="1"/>
        <v>-84308.929999999702</v>
      </c>
      <c r="K12" s="13">
        <f t="shared" si="3"/>
        <v>-1.8778303693517309E-2</v>
      </c>
    </row>
    <row r="13" spans="1:12" x14ac:dyDescent="0.2">
      <c r="A13" s="129"/>
      <c r="B13" s="127" t="s">
        <v>18</v>
      </c>
      <c r="C13" s="8" t="s">
        <v>19</v>
      </c>
      <c r="D13" s="9">
        <v>21000</v>
      </c>
      <c r="E13" s="9"/>
      <c r="F13" s="9">
        <f>VLOOKUP(C13,Tulud!$A$4:$B$19,2,FALSE)</f>
        <v>17100</v>
      </c>
      <c r="G13" s="9">
        <f>VLOOKUP(C13,Tulud!$A$4:$C$19,3,FALSE)</f>
        <v>0</v>
      </c>
      <c r="H13" s="9">
        <f>VLOOKUP(C13,Tulud!$A$3:$D$19,4,FALSE)</f>
        <v>0</v>
      </c>
      <c r="I13" s="9">
        <f t="shared" ref="I13:I16" si="4">SUM(F13:H13)</f>
        <v>17100</v>
      </c>
      <c r="J13" s="9">
        <f t="shared" si="1"/>
        <v>-3900</v>
      </c>
      <c r="K13" s="10">
        <f t="shared" si="3"/>
        <v>-0.18571428571428572</v>
      </c>
      <c r="L13" s="2">
        <f>I17/I18</f>
        <v>2.7034490287148258E-3</v>
      </c>
    </row>
    <row r="14" spans="1:12" x14ac:dyDescent="0.2">
      <c r="A14" s="129"/>
      <c r="B14" s="127"/>
      <c r="C14" s="8" t="s">
        <v>20</v>
      </c>
      <c r="D14" s="9">
        <v>17066.79</v>
      </c>
      <c r="E14" s="9"/>
      <c r="F14" s="9">
        <f>VLOOKUP(C14,Tulud!$A$4:$B$19,2,FALSE)</f>
        <v>14900</v>
      </c>
      <c r="G14" s="9">
        <f>VLOOKUP(C14,Tulud!$A$4:$C$19,3,FALSE)</f>
        <v>0</v>
      </c>
      <c r="H14" s="9">
        <f>VLOOKUP(C14,Tulud!$A$3:$D$19,4,FALSE)</f>
        <v>0</v>
      </c>
      <c r="I14" s="9">
        <f t="shared" si="4"/>
        <v>14900</v>
      </c>
      <c r="J14" s="9">
        <f t="shared" si="1"/>
        <v>-2166.7900000000009</v>
      </c>
      <c r="K14" s="10">
        <f t="shared" si="3"/>
        <v>-0.12695943408221469</v>
      </c>
    </row>
    <row r="15" spans="1:12" x14ac:dyDescent="0.2">
      <c r="A15" s="129"/>
      <c r="B15" s="127"/>
      <c r="C15" s="8" t="s">
        <v>21</v>
      </c>
      <c r="D15" s="9">
        <v>0</v>
      </c>
      <c r="E15" s="9">
        <v>0</v>
      </c>
      <c r="F15" s="9">
        <v>0</v>
      </c>
      <c r="G15" s="9"/>
      <c r="H15" s="9"/>
      <c r="I15" s="9">
        <f>SUM(F15:H15)</f>
        <v>0</v>
      </c>
      <c r="J15" s="9">
        <f t="shared" si="1"/>
        <v>0</v>
      </c>
      <c r="K15" s="10">
        <v>0</v>
      </c>
    </row>
    <row r="16" spans="1:12" x14ac:dyDescent="0.2">
      <c r="A16" s="129"/>
      <c r="B16" s="127"/>
      <c r="C16" s="8" t="s">
        <v>18</v>
      </c>
      <c r="D16" s="9">
        <v>0</v>
      </c>
      <c r="E16" s="9"/>
      <c r="F16" s="9">
        <v>0</v>
      </c>
      <c r="G16" s="9"/>
      <c r="H16" s="9"/>
      <c r="I16" s="9">
        <f t="shared" si="4"/>
        <v>0</v>
      </c>
      <c r="J16" s="9">
        <f t="shared" si="1"/>
        <v>0</v>
      </c>
      <c r="K16" s="10">
        <v>0</v>
      </c>
    </row>
    <row r="17" spans="1:20" x14ac:dyDescent="0.2">
      <c r="A17" s="129"/>
      <c r="B17" s="127"/>
      <c r="C17" s="11" t="s">
        <v>22</v>
      </c>
      <c r="D17" s="12">
        <f>SUM(D13:D16)</f>
        <v>38066.79</v>
      </c>
      <c r="E17" s="12">
        <f>SUM(E13:E16)</f>
        <v>0</v>
      </c>
      <c r="F17" s="12">
        <f>SUM(F13:F16)</f>
        <v>32000</v>
      </c>
      <c r="G17" s="12">
        <f>SUM(G13:G16)</f>
        <v>0</v>
      </c>
      <c r="H17" s="12">
        <f>SUM(H13:H16)</f>
        <v>0</v>
      </c>
      <c r="I17" s="12">
        <f t="shared" ref="I17:I29" si="5">SUM(F17:H17)</f>
        <v>32000</v>
      </c>
      <c r="J17" s="12">
        <f t="shared" si="1"/>
        <v>-6066.7900000000009</v>
      </c>
      <c r="K17" s="13">
        <f t="shared" si="3"/>
        <v>-0.15937225072037858</v>
      </c>
    </row>
    <row r="18" spans="1:20" x14ac:dyDescent="0.2">
      <c r="A18" s="130"/>
      <c r="B18" s="132" t="s">
        <v>23</v>
      </c>
      <c r="C18" s="132"/>
      <c r="D18" s="16">
        <f>D7+D8+D12+D17</f>
        <v>11579008.229999999</v>
      </c>
      <c r="E18" s="16">
        <f>E7+E8+E12+E17</f>
        <v>0</v>
      </c>
      <c r="F18" s="16">
        <f>F7+F8+F12+F17</f>
        <v>11836731.397599999</v>
      </c>
      <c r="G18" s="16">
        <f>G7+G8+G12+G17</f>
        <v>0</v>
      </c>
      <c r="H18" s="16">
        <f>H7+H8+H12+H17</f>
        <v>0</v>
      </c>
      <c r="I18" s="16">
        <f t="shared" si="5"/>
        <v>11836731.397599999</v>
      </c>
      <c r="J18" s="16">
        <f t="shared" si="1"/>
        <v>257723.16760000028</v>
      </c>
      <c r="K18" s="17">
        <f t="shared" si="3"/>
        <v>2.2257792937072668E-2</v>
      </c>
    </row>
    <row r="19" spans="1:20" x14ac:dyDescent="0.2">
      <c r="A19" s="128" t="s">
        <v>24</v>
      </c>
      <c r="B19" s="131" t="s">
        <v>25</v>
      </c>
      <c r="C19" s="8" t="s">
        <v>26</v>
      </c>
      <c r="D19" s="9">
        <v>-761101.81</v>
      </c>
      <c r="E19" s="9"/>
      <c r="F19" s="9">
        <f>VLOOKUP(C19,Kulud!$A$4:$B$16,2,FALSE)*-1</f>
        <v>-697006</v>
      </c>
      <c r="G19" s="9">
        <f>VLOOKUP(C19,Kulud!$A$4:$C$16,3,FALSE)*-1</f>
        <v>0</v>
      </c>
      <c r="H19" s="9">
        <f>VLOOKUP(C19,Kulud!$A$3:$D$17,4,FALSE)*-1</f>
        <v>0</v>
      </c>
      <c r="I19" s="9">
        <f>SUM(F19:H19)</f>
        <v>-697006</v>
      </c>
      <c r="J19" s="9">
        <f>F19-D19</f>
        <v>64095.810000000056</v>
      </c>
      <c r="K19" s="10">
        <f t="shared" si="3"/>
        <v>-8.4214502130799104E-2</v>
      </c>
    </row>
    <row r="20" spans="1:20" x14ac:dyDescent="0.2">
      <c r="A20" s="129"/>
      <c r="B20" s="131"/>
      <c r="C20" s="8" t="s">
        <v>27</v>
      </c>
      <c r="D20" s="9">
        <v>-340240.34499999997</v>
      </c>
      <c r="E20" s="9"/>
      <c r="F20" s="9">
        <f>VLOOKUP(C20,Kulud!$A$4:$B$16,2,FALSE)*-1</f>
        <v>-323501.48</v>
      </c>
      <c r="G20" s="9">
        <f>VLOOKUP(C20,Kulud!$A$4:$C$16,3,FALSE)*-1</f>
        <v>0</v>
      </c>
      <c r="H20" s="9">
        <f>VLOOKUP(C20,Kulud!$A$3:$D$17,4,FALSE)*-1</f>
        <v>0</v>
      </c>
      <c r="I20" s="9">
        <f t="shared" si="5"/>
        <v>-323501.48</v>
      </c>
      <c r="J20" s="9">
        <f t="shared" si="1"/>
        <v>16738.864999999991</v>
      </c>
      <c r="K20" s="10">
        <f t="shared" si="3"/>
        <v>-4.9197178541539488E-2</v>
      </c>
    </row>
    <row r="21" spans="1:20" x14ac:dyDescent="0.2">
      <c r="A21" s="129"/>
      <c r="B21" s="131"/>
      <c r="C21" s="8" t="s">
        <v>28</v>
      </c>
      <c r="D21" s="9">
        <v>-36875</v>
      </c>
      <c r="E21" s="9"/>
      <c r="F21" s="9">
        <f>VLOOKUP(C21,Kulud!$A$4:$B$16,2,FALSE)*-1</f>
        <v>-36671</v>
      </c>
      <c r="G21" s="9">
        <f>VLOOKUP(C21,Kulud!$A$4:$C$16,3,FALSE)*-1</f>
        <v>0</v>
      </c>
      <c r="H21" s="9">
        <f>VLOOKUP(C21,Kulud!$A$3:$D$17,4,FALSE)*-1</f>
        <v>0</v>
      </c>
      <c r="I21" s="9">
        <f t="shared" si="5"/>
        <v>-36671</v>
      </c>
      <c r="J21" s="9">
        <f t="shared" si="1"/>
        <v>204</v>
      </c>
      <c r="K21" s="10">
        <f t="shared" si="3"/>
        <v>-5.5322033898305084E-3</v>
      </c>
    </row>
    <row r="22" spans="1:20" x14ac:dyDescent="0.2">
      <c r="A22" s="129"/>
      <c r="B22" s="131"/>
      <c r="C22" s="18" t="s">
        <v>29</v>
      </c>
      <c r="D22" s="19">
        <f>SUM(D19:D21)</f>
        <v>-1138217.155</v>
      </c>
      <c r="E22" s="19">
        <f>SUM(E19:E21)</f>
        <v>0</v>
      </c>
      <c r="F22" s="19">
        <f>SUM(F19:F21)</f>
        <v>-1057178.48</v>
      </c>
      <c r="G22" s="19">
        <f>SUM(G19:G21)</f>
        <v>0</v>
      </c>
      <c r="H22" s="19">
        <f>SUM(H19:H21)</f>
        <v>0</v>
      </c>
      <c r="I22" s="19">
        <f t="shared" si="5"/>
        <v>-1057178.48</v>
      </c>
      <c r="J22" s="19">
        <f t="shared" si="1"/>
        <v>81038.675000000047</v>
      </c>
      <c r="K22" s="20">
        <f t="shared" si="3"/>
        <v>-7.1197903356148284E-2</v>
      </c>
      <c r="L22" s="39">
        <f>I22/I27</f>
        <v>8.9671800883718164E-2</v>
      </c>
    </row>
    <row r="23" spans="1:20" x14ac:dyDescent="0.2">
      <c r="A23" s="129"/>
      <c r="B23" s="127" t="s">
        <v>30</v>
      </c>
      <c r="C23" s="8" t="s">
        <v>31</v>
      </c>
      <c r="D23" s="9">
        <v>-6301201.4106666679</v>
      </c>
      <c r="E23" s="9"/>
      <c r="F23" s="9">
        <f>VLOOKUP(C23,Kulud!$A$4:$B$16,2,FALSE)*-1</f>
        <v>-6797594.0660000034</v>
      </c>
      <c r="G23" s="9">
        <f>VLOOKUP(C23,Kulud!$A$4:$C$16,3,FALSE)*-1</f>
        <v>0</v>
      </c>
      <c r="H23" s="9">
        <f>VLOOKUP(C23,Kulud!$A$3:$D$17,4,FALSE)*-1</f>
        <v>0</v>
      </c>
      <c r="I23" s="9">
        <f t="shared" si="5"/>
        <v>-6797594.0660000034</v>
      </c>
      <c r="J23" s="9">
        <f t="shared" si="1"/>
        <v>-496392.65533333551</v>
      </c>
      <c r="K23" s="10">
        <f t="shared" si="3"/>
        <v>7.8777462103185994E-2</v>
      </c>
      <c r="L23" s="39">
        <f>I23/I27</f>
        <v>0.57658428837361175</v>
      </c>
    </row>
    <row r="24" spans="1:20" x14ac:dyDescent="0.2">
      <c r="A24" s="129"/>
      <c r="B24" s="127"/>
      <c r="C24" s="8" t="s">
        <v>32</v>
      </c>
      <c r="D24" s="9">
        <v>-3963669.2900000014</v>
      </c>
      <c r="E24" s="9"/>
      <c r="F24" s="9">
        <f>VLOOKUP(C24,Kulud!$A$4:$B$16,2,FALSE)*-1</f>
        <v>-3872523.3200000003</v>
      </c>
      <c r="G24" s="9">
        <f>VLOOKUP(C24,Kulud!$A$4:$C$16,3,FALSE)*-1</f>
        <v>0</v>
      </c>
      <c r="H24" s="9">
        <f>VLOOKUP(C24,Kulud!$A$3:$D$17,4,FALSE)*-1</f>
        <v>0</v>
      </c>
      <c r="I24" s="9">
        <f t="shared" si="5"/>
        <v>-3872523.3200000003</v>
      </c>
      <c r="J24" s="9">
        <f t="shared" si="1"/>
        <v>91145.970000001136</v>
      </c>
      <c r="K24" s="10">
        <f t="shared" si="3"/>
        <v>-2.2995351864988994E-2</v>
      </c>
      <c r="L24" s="39">
        <f>I24/I27</f>
        <v>0.32847446920088202</v>
      </c>
    </row>
    <row r="25" spans="1:20" x14ac:dyDescent="0.2">
      <c r="A25" s="129"/>
      <c r="B25" s="127"/>
      <c r="C25" s="8" t="s">
        <v>33</v>
      </c>
      <c r="D25" s="9">
        <v>-31165.837750000006</v>
      </c>
      <c r="E25" s="9"/>
      <c r="F25" s="9">
        <f>VLOOKUP(C25,Kulud!$A$4:$B$16,2,FALSE)*-1</f>
        <v>-62123.656987999995</v>
      </c>
      <c r="G25" s="9">
        <f>VLOOKUP(C25,Kulud!$A$4:$C$16,3,FALSE)*-1</f>
        <v>0</v>
      </c>
      <c r="H25" s="9">
        <f>VLOOKUP(C25,Kulud!$A$3:$D$17,4,FALSE)*-1</f>
        <v>0</v>
      </c>
      <c r="I25" s="9">
        <f t="shared" si="5"/>
        <v>-62123.656987999995</v>
      </c>
      <c r="J25" s="9">
        <f t="shared" si="1"/>
        <v>-30957.819237999989</v>
      </c>
      <c r="K25" s="10">
        <f t="shared" si="3"/>
        <v>0.99332543172210996</v>
      </c>
    </row>
    <row r="26" spans="1:20" x14ac:dyDescent="0.2">
      <c r="A26" s="129"/>
      <c r="B26" s="127"/>
      <c r="C26" s="11" t="s">
        <v>34</v>
      </c>
      <c r="D26" s="19">
        <f>SUM(D23:D25)</f>
        <v>-10296036.538416671</v>
      </c>
      <c r="E26" s="19">
        <f>SUM(E23:E25)</f>
        <v>0</v>
      </c>
      <c r="F26" s="19">
        <f>SUM(F23:F25)</f>
        <v>-10732241.042988004</v>
      </c>
      <c r="G26" s="19">
        <f>SUM(G23:G25)</f>
        <v>0</v>
      </c>
      <c r="H26" s="19">
        <f>SUM(H23:H25)</f>
        <v>0</v>
      </c>
      <c r="I26" s="19">
        <f t="shared" si="5"/>
        <v>-10732241.042988004</v>
      </c>
      <c r="J26" s="19">
        <f t="shared" si="1"/>
        <v>-436204.50457133353</v>
      </c>
      <c r="K26" s="20">
        <f t="shared" si="3"/>
        <v>4.2366254523647333E-2</v>
      </c>
    </row>
    <row r="27" spans="1:20" x14ac:dyDescent="0.2">
      <c r="A27" s="130"/>
      <c r="B27" s="133" t="s">
        <v>35</v>
      </c>
      <c r="C27" s="133"/>
      <c r="D27" s="21">
        <f>D22+D26</f>
        <v>-11434253.69341667</v>
      </c>
      <c r="E27" s="21">
        <f>E22+E26</f>
        <v>0</v>
      </c>
      <c r="F27" s="21">
        <f>F22+F26</f>
        <v>-11789419.522988005</v>
      </c>
      <c r="G27" s="21">
        <f>G22+G26</f>
        <v>0</v>
      </c>
      <c r="H27" s="21">
        <f>H22+H26</f>
        <v>0</v>
      </c>
      <c r="I27" s="21">
        <f t="shared" si="5"/>
        <v>-11789419.522988005</v>
      </c>
      <c r="J27" s="21">
        <f>F27-D27</f>
        <v>-355165.82957133465</v>
      </c>
      <c r="K27" s="22">
        <f t="shared" si="3"/>
        <v>3.1061566333430504E-2</v>
      </c>
    </row>
    <row r="28" spans="1:20" x14ac:dyDescent="0.2">
      <c r="A28" s="132" t="s">
        <v>36</v>
      </c>
      <c r="B28" s="132"/>
      <c r="C28" s="132"/>
      <c r="D28" s="16">
        <f>D18+D27</f>
        <v>144754.53658332862</v>
      </c>
      <c r="E28" s="16">
        <f>E18+E27</f>
        <v>0</v>
      </c>
      <c r="F28" s="16">
        <f>F18+F27</f>
        <v>47311.874611994252</v>
      </c>
      <c r="G28" s="16">
        <f>G18+G27</f>
        <v>0</v>
      </c>
      <c r="H28" s="16">
        <f>H18+H27</f>
        <v>0</v>
      </c>
      <c r="I28" s="16">
        <f t="shared" si="5"/>
        <v>47311.874611994252</v>
      </c>
      <c r="J28" s="16">
        <f t="shared" si="1"/>
        <v>-97442.661971334368</v>
      </c>
      <c r="K28" s="17">
        <f t="shared" si="3"/>
        <v>-0.67315791457244623</v>
      </c>
    </row>
    <row r="29" spans="1:20" x14ac:dyDescent="0.2">
      <c r="A29" s="134" t="s">
        <v>37</v>
      </c>
      <c r="B29" s="127" t="s">
        <v>38</v>
      </c>
      <c r="C29" s="127"/>
      <c r="D29" s="9">
        <v>23677</v>
      </c>
      <c r="E29" s="9"/>
      <c r="F29" s="9">
        <v>0</v>
      </c>
      <c r="G29" s="9">
        <v>0</v>
      </c>
      <c r="H29" s="9">
        <f>VLOOKUP(B29,Tulud!$A$3:$D$19,4,FALSE)</f>
        <v>0</v>
      </c>
      <c r="I29" s="9">
        <f t="shared" si="5"/>
        <v>0</v>
      </c>
      <c r="J29" s="9">
        <f t="shared" si="1"/>
        <v>-23677</v>
      </c>
      <c r="K29" s="10">
        <f t="shared" si="3"/>
        <v>-1</v>
      </c>
    </row>
    <row r="30" spans="1:20" x14ac:dyDescent="0.2">
      <c r="A30" s="134"/>
      <c r="B30" s="127" t="s">
        <v>39</v>
      </c>
      <c r="C30" s="127"/>
      <c r="D30" s="9">
        <v>-2865346.15</v>
      </c>
      <c r="E30" s="9"/>
      <c r="F30" s="9">
        <f>VLOOKUP(B30,Kulud!$A$4:$B$16,2,FALSE)*-1</f>
        <v>-2464710.6399999997</v>
      </c>
      <c r="G30" s="9">
        <f>VLOOKUP(B30,Kulud!$A$4:$C$16,3,FALSE)*-1</f>
        <v>0</v>
      </c>
      <c r="H30" s="9">
        <f>VLOOKUP(B30,Kulud!$A$3:$D$17,4,FALSE)*-1</f>
        <v>0</v>
      </c>
      <c r="I30" s="9">
        <f t="shared" ref="I30:I35" si="6">SUM(F30:H30)</f>
        <v>-2464710.6399999997</v>
      </c>
      <c r="J30" s="9">
        <f t="shared" si="1"/>
        <v>400635.51000000024</v>
      </c>
      <c r="K30" s="10">
        <f t="shared" si="3"/>
        <v>-0.13982098114044625</v>
      </c>
      <c r="P30" s="2" t="s">
        <v>976</v>
      </c>
      <c r="Q30" s="2" t="s">
        <v>977</v>
      </c>
      <c r="R30" s="2">
        <v>2021</v>
      </c>
    </row>
    <row r="31" spans="1:20" x14ac:dyDescent="0.2">
      <c r="A31" s="134"/>
      <c r="B31" s="127" t="s">
        <v>40</v>
      </c>
      <c r="C31" s="127"/>
      <c r="D31" s="9">
        <v>1319206.8400000001</v>
      </c>
      <c r="E31" s="9"/>
      <c r="F31" s="9">
        <f>VLOOKUP(B31,Tulud!$A$4:$B$19,2,FALSE)</f>
        <v>970075</v>
      </c>
      <c r="G31" s="9">
        <f>VLOOKUP(B31,Tulud!$A$4:$C$19,3,FALSE)</f>
        <v>0</v>
      </c>
      <c r="H31" s="9">
        <f>VLOOKUP(B31,Tulud!$A$3:$D$19,4,FALSE)</f>
        <v>0</v>
      </c>
      <c r="I31" s="9">
        <f t="shared" si="6"/>
        <v>970075</v>
      </c>
      <c r="J31" s="9">
        <f t="shared" si="1"/>
        <v>-349131.84000000008</v>
      </c>
      <c r="K31" s="10">
        <f t="shared" si="3"/>
        <v>-0.2646528424610049</v>
      </c>
      <c r="N31" s="2" t="str">
        <f t="shared" ref="N31:O32" si="7">B19</f>
        <v>Antud toetused tegevuskuludeks</v>
      </c>
      <c r="O31" s="2" t="str">
        <f t="shared" si="7"/>
        <v>Sotsiaalabitoetused ja muud toetused füüsilistele isikutele</v>
      </c>
      <c r="P31" s="23">
        <f t="shared" ref="P31:R32" si="8">(D19)*-1</f>
        <v>761101.81</v>
      </c>
      <c r="Q31" s="23">
        <f t="shared" si="8"/>
        <v>0</v>
      </c>
      <c r="R31" s="23">
        <f t="shared" si="8"/>
        <v>697006</v>
      </c>
      <c r="S31" s="23">
        <f t="shared" ref="S31:T32" si="9">(J19)*-1</f>
        <v>-64095.810000000056</v>
      </c>
      <c r="T31" s="24">
        <f t="shared" si="9"/>
        <v>8.4214502130799104E-2</v>
      </c>
    </row>
    <row r="32" spans="1:20" x14ac:dyDescent="0.2">
      <c r="A32" s="134"/>
      <c r="B32" s="127" t="s">
        <v>41</v>
      </c>
      <c r="C32" s="127"/>
      <c r="D32" s="9">
        <v>-181187</v>
      </c>
      <c r="E32" s="9"/>
      <c r="F32" s="9">
        <f>VLOOKUP(B32,Kulud!$A$4:$B$16,2,FALSE)*-1</f>
        <v>-169729</v>
      </c>
      <c r="G32" s="9">
        <f>VLOOKUP(B32,Kulud!$A$4:$C$16,3,FALSE)*-1</f>
        <v>0</v>
      </c>
      <c r="H32" s="9">
        <f>VLOOKUP(B32,Kulud!$A$3:$D$17,4,FALSE)*-1</f>
        <v>0</v>
      </c>
      <c r="I32" s="9">
        <f t="shared" si="6"/>
        <v>-169729</v>
      </c>
      <c r="J32" s="9">
        <f t="shared" si="1"/>
        <v>11458</v>
      </c>
      <c r="K32" s="10">
        <f t="shared" si="3"/>
        <v>-6.3238532565802183E-2</v>
      </c>
      <c r="N32" s="2">
        <f t="shared" si="7"/>
        <v>0</v>
      </c>
      <c r="O32" s="2" t="str">
        <f t="shared" si="7"/>
        <v>Sihtotstarbelised toetused tegevuskuludeks</v>
      </c>
      <c r="P32" s="23">
        <f t="shared" si="8"/>
        <v>340240.34499999997</v>
      </c>
      <c r="Q32" s="23">
        <f t="shared" si="8"/>
        <v>0</v>
      </c>
      <c r="R32" s="23">
        <f t="shared" si="8"/>
        <v>323501.48</v>
      </c>
      <c r="S32" s="23">
        <f t="shared" si="9"/>
        <v>-16738.864999999991</v>
      </c>
      <c r="T32" s="24">
        <f t="shared" si="9"/>
        <v>4.9197178541539488E-2</v>
      </c>
    </row>
    <row r="33" spans="1:20" x14ac:dyDescent="0.2">
      <c r="A33" s="134"/>
      <c r="B33" s="127" t="s">
        <v>998</v>
      </c>
      <c r="C33" s="127"/>
      <c r="D33" s="9">
        <v>-700000</v>
      </c>
      <c r="E33" s="9"/>
      <c r="F33" s="9">
        <f>VLOOKUP(B33,Kulud!$A$4:$B$16,2,FALSE)*-1</f>
        <v>-300000</v>
      </c>
      <c r="G33" s="9">
        <v>0</v>
      </c>
      <c r="H33" s="9">
        <f>VLOOKUP(B33,Kulud!$A$3:$D$17,4,FALSE)*-1</f>
        <v>0</v>
      </c>
      <c r="I33" s="9">
        <f t="shared" si="6"/>
        <v>-300000</v>
      </c>
      <c r="J33" s="9">
        <f t="shared" si="1"/>
        <v>400000</v>
      </c>
      <c r="K33" s="10">
        <f t="shared" si="3"/>
        <v>-0.5714285714285714</v>
      </c>
      <c r="P33" s="23"/>
      <c r="Q33" s="23"/>
      <c r="R33" s="23"/>
      <c r="S33" s="23"/>
      <c r="T33" s="24"/>
    </row>
    <row r="34" spans="1:20" x14ac:dyDescent="0.2">
      <c r="A34" s="134"/>
      <c r="B34" s="127" t="s">
        <v>42</v>
      </c>
      <c r="C34" s="127"/>
      <c r="D34" s="9">
        <v>130</v>
      </c>
      <c r="E34" s="9"/>
      <c r="F34" s="9">
        <v>0</v>
      </c>
      <c r="G34" s="9">
        <v>0</v>
      </c>
      <c r="H34" s="9">
        <v>0</v>
      </c>
      <c r="I34" s="9">
        <f>SUM(F34:H34)</f>
        <v>0</v>
      </c>
      <c r="J34" s="9">
        <f t="shared" si="1"/>
        <v>-130</v>
      </c>
      <c r="K34" s="10">
        <f t="shared" si="3"/>
        <v>-1</v>
      </c>
      <c r="N34" s="2">
        <f>B21</f>
        <v>0</v>
      </c>
      <c r="O34" s="2" t="str">
        <f>C21</f>
        <v>Mittesihtotstarbelised toetused</v>
      </c>
      <c r="P34" s="23">
        <f>(D21)*-1</f>
        <v>36875</v>
      </c>
      <c r="Q34" s="23">
        <f>(E21)*-1</f>
        <v>0</v>
      </c>
      <c r="R34" s="23">
        <f>(F21)*-1</f>
        <v>36671</v>
      </c>
      <c r="S34" s="23">
        <f>(J21)*-1</f>
        <v>-204</v>
      </c>
      <c r="T34" s="24">
        <f>(K21)*-1</f>
        <v>5.5322033898305084E-3</v>
      </c>
    </row>
    <row r="35" spans="1:20" x14ac:dyDescent="0.2">
      <c r="A35" s="134"/>
      <c r="B35" s="127" t="s">
        <v>43</v>
      </c>
      <c r="C35" s="127"/>
      <c r="D35" s="9">
        <v>-33847.94</v>
      </c>
      <c r="E35" s="9"/>
      <c r="F35" s="9">
        <f>VLOOKUP(B35,Kulud!$A$4:$B$16,2,FALSE)*-1</f>
        <v>-39901.69</v>
      </c>
      <c r="G35" s="9">
        <f>VLOOKUP(B35,Kulud!$A$4:$C$16,3,FALSE)*-1</f>
        <v>0</v>
      </c>
      <c r="H35" s="9">
        <f>VLOOKUP(B35,Kulud!$A$3:$D$17,4,FALSE)*-1</f>
        <v>0</v>
      </c>
      <c r="I35" s="9">
        <f t="shared" si="6"/>
        <v>-39901.69</v>
      </c>
      <c r="J35" s="9">
        <f t="shared" si="1"/>
        <v>-6053.75</v>
      </c>
      <c r="K35" s="10">
        <f t="shared" si="3"/>
        <v>0.17885135698066115</v>
      </c>
      <c r="N35" s="2" t="str">
        <f t="shared" ref="N35:O37" si="10">B23</f>
        <v>Muud tegevuskulud</v>
      </c>
      <c r="O35" s="2" t="str">
        <f t="shared" si="10"/>
        <v>Tööjõukulud</v>
      </c>
      <c r="P35" s="23">
        <f t="shared" ref="P35:R37" si="11">(D23)*-1</f>
        <v>6301201.4106666679</v>
      </c>
      <c r="Q35" s="23">
        <f t="shared" si="11"/>
        <v>0</v>
      </c>
      <c r="R35" s="23">
        <f t="shared" si="11"/>
        <v>6797594.0660000034</v>
      </c>
      <c r="S35" s="23">
        <f t="shared" ref="S35:T37" si="12">(J23)*-1</f>
        <v>496392.65533333551</v>
      </c>
      <c r="T35" s="24">
        <f t="shared" si="12"/>
        <v>-7.8777462103185994E-2</v>
      </c>
    </row>
    <row r="36" spans="1:20" x14ac:dyDescent="0.2">
      <c r="A36" s="134"/>
      <c r="B36" s="133" t="s">
        <v>44</v>
      </c>
      <c r="C36" s="133"/>
      <c r="D36" s="19">
        <f>SUM(D29:D35)</f>
        <v>-2437367.2499999995</v>
      </c>
      <c r="E36" s="19">
        <f>SUM(E29:E35)</f>
        <v>0</v>
      </c>
      <c r="F36" s="19">
        <f>SUM(F29:F35)</f>
        <v>-2004266.3299999996</v>
      </c>
      <c r="G36" s="19">
        <f>SUM(G29:G35)</f>
        <v>0</v>
      </c>
      <c r="H36" s="19">
        <f>SUM(H29:H35)</f>
        <v>0</v>
      </c>
      <c r="I36" s="19">
        <f>SUM(F36:H36)</f>
        <v>-2004266.3299999996</v>
      </c>
      <c r="J36" s="19">
        <f t="shared" si="1"/>
        <v>433100.91999999993</v>
      </c>
      <c r="K36" s="20">
        <f t="shared" si="3"/>
        <v>-0.17769210610341959</v>
      </c>
      <c r="N36" s="2">
        <f t="shared" si="10"/>
        <v>0</v>
      </c>
      <c r="O36" s="2" t="str">
        <f t="shared" si="10"/>
        <v>Majandamiskulud</v>
      </c>
      <c r="P36" s="23">
        <f t="shared" si="11"/>
        <v>3963669.2900000014</v>
      </c>
      <c r="Q36" s="23">
        <f t="shared" si="11"/>
        <v>0</v>
      </c>
      <c r="R36" s="23">
        <f t="shared" si="11"/>
        <v>3872523.3200000003</v>
      </c>
      <c r="S36" s="23">
        <f t="shared" si="12"/>
        <v>-91145.970000001136</v>
      </c>
      <c r="T36" s="24">
        <f t="shared" si="12"/>
        <v>2.2995351864988994E-2</v>
      </c>
    </row>
    <row r="37" spans="1:20" x14ac:dyDescent="0.2">
      <c r="A37" s="132" t="s">
        <v>45</v>
      </c>
      <c r="B37" s="132"/>
      <c r="C37" s="132"/>
      <c r="D37" s="12">
        <f>D28+D36</f>
        <v>-2292612.7134166709</v>
      </c>
      <c r="E37" s="12">
        <f>E28+E36</f>
        <v>0</v>
      </c>
      <c r="F37" s="12">
        <f>F28+F36</f>
        <v>-1956954.4553880054</v>
      </c>
      <c r="G37" s="12">
        <f>G28+G36</f>
        <v>0</v>
      </c>
      <c r="H37" s="12">
        <f>H28+H36</f>
        <v>0</v>
      </c>
      <c r="I37" s="12">
        <f>SUM(F37:H37)</f>
        <v>-1956954.4553880054</v>
      </c>
      <c r="J37" s="12">
        <f t="shared" si="1"/>
        <v>335658.25802866556</v>
      </c>
      <c r="K37" s="13">
        <f t="shared" si="3"/>
        <v>-0.14640861758479717</v>
      </c>
      <c r="N37" s="2">
        <f t="shared" si="10"/>
        <v>0</v>
      </c>
      <c r="O37" s="2" t="str">
        <f t="shared" si="10"/>
        <v>Muud kulud</v>
      </c>
      <c r="P37" s="23">
        <f t="shared" si="11"/>
        <v>31165.837750000006</v>
      </c>
      <c r="Q37" s="23">
        <f t="shared" si="11"/>
        <v>0</v>
      </c>
      <c r="R37" s="23">
        <f t="shared" si="11"/>
        <v>62123.656987999995</v>
      </c>
      <c r="S37" s="23">
        <f t="shared" si="12"/>
        <v>30957.819237999989</v>
      </c>
      <c r="T37" s="24">
        <f t="shared" si="12"/>
        <v>-0.99332543172210996</v>
      </c>
    </row>
    <row r="38" spans="1:20" x14ac:dyDescent="0.2">
      <c r="A38" s="134" t="s">
        <v>46</v>
      </c>
      <c r="B38" s="127" t="s">
        <v>47</v>
      </c>
      <c r="C38" s="127"/>
      <c r="D38" s="9">
        <v>2200000</v>
      </c>
      <c r="E38" s="9"/>
      <c r="F38" s="9">
        <f>VLOOKUP(B38,Tulud!$A$4:$B$19,2,FALSE)</f>
        <v>1815000</v>
      </c>
      <c r="G38" s="9">
        <f>VLOOKUP(B38,Tulud!$A$4:$C$19,3,FALSE)</f>
        <v>0</v>
      </c>
      <c r="H38" s="9">
        <f>VLOOKUP(B38,Tulud!$A$3:$D$19,4,FALSE)</f>
        <v>0</v>
      </c>
      <c r="I38" s="9">
        <f t="shared" ref="I38:I39" si="13">SUM(F38:H38)</f>
        <v>1815000</v>
      </c>
      <c r="J38" s="9">
        <f t="shared" si="1"/>
        <v>-385000</v>
      </c>
      <c r="K38" s="10">
        <f t="shared" si="3"/>
        <v>-0.17499999999999999</v>
      </c>
    </row>
    <row r="39" spans="1:20" x14ac:dyDescent="0.2">
      <c r="A39" s="134"/>
      <c r="B39" s="127" t="s">
        <v>48</v>
      </c>
      <c r="C39" s="127"/>
      <c r="D39" s="9">
        <v>-658390.72</v>
      </c>
      <c r="E39" s="9"/>
      <c r="F39" s="9">
        <f>VLOOKUP(B39,Kulud!$A$4:$B$17,2,FALSE)*-1</f>
        <v>-888835.38000000012</v>
      </c>
      <c r="G39" s="9">
        <f>VLOOKUP(B39,Kulud!$A$4:$C$17,3,FALSE)*-1</f>
        <v>0</v>
      </c>
      <c r="H39" s="9">
        <f>VLOOKUP(B39,Kulud!$A$3:$D$17,4,FALSE)*-1</f>
        <v>0</v>
      </c>
      <c r="I39" s="9">
        <f t="shared" si="13"/>
        <v>-888835.38000000012</v>
      </c>
      <c r="J39" s="9">
        <f t="shared" si="1"/>
        <v>-230444.66000000015</v>
      </c>
      <c r="K39" s="10">
        <f t="shared" si="3"/>
        <v>0.35001201110489555</v>
      </c>
    </row>
    <row r="40" spans="1:20" x14ac:dyDescent="0.2">
      <c r="A40" s="134"/>
      <c r="B40" s="133" t="s">
        <v>49</v>
      </c>
      <c r="C40" s="133"/>
      <c r="D40" s="19">
        <f>D38+D39</f>
        <v>1541609.28</v>
      </c>
      <c r="E40" s="19">
        <f>E38+E39</f>
        <v>0</v>
      </c>
      <c r="F40" s="19">
        <f>F38+F39</f>
        <v>926164.61999999988</v>
      </c>
      <c r="G40" s="19">
        <f>G38+G39</f>
        <v>0</v>
      </c>
      <c r="H40" s="19">
        <f>H38+H39</f>
        <v>0</v>
      </c>
      <c r="I40" s="19">
        <f>SUM(F40:H40)</f>
        <v>926164.61999999988</v>
      </c>
      <c r="J40" s="19">
        <f t="shared" si="1"/>
        <v>-615444.66000000015</v>
      </c>
      <c r="K40" s="20">
        <f t="shared" si="3"/>
        <v>-0.39922220758816407</v>
      </c>
    </row>
    <row r="41" spans="1:20" x14ac:dyDescent="0.2">
      <c r="A41" s="132" t="s">
        <v>50</v>
      </c>
      <c r="B41" s="132"/>
      <c r="C41" s="132"/>
      <c r="D41" s="12">
        <f>D37+D40</f>
        <v>-751003.43341667089</v>
      </c>
      <c r="E41" s="12">
        <f>E37+E40+E42</f>
        <v>0</v>
      </c>
      <c r="F41" s="12">
        <f>F37+F40+F42</f>
        <v>-1030789.8353880055</v>
      </c>
      <c r="G41" s="12">
        <f>G37+G40+G42</f>
        <v>0</v>
      </c>
      <c r="H41" s="12">
        <f>H37+H40+H42</f>
        <v>0</v>
      </c>
      <c r="I41" s="12">
        <f>I37+I40+I42</f>
        <v>-1030789.8353880055</v>
      </c>
      <c r="J41" s="12">
        <f>F41-D41</f>
        <v>-279786.40197133459</v>
      </c>
      <c r="K41" s="13">
        <f t="shared" si="3"/>
        <v>0.37255009700615282</v>
      </c>
    </row>
    <row r="42" spans="1:20" x14ac:dyDescent="0.2">
      <c r="A42" s="11" t="s">
        <v>51</v>
      </c>
      <c r="B42" s="11"/>
      <c r="C42" s="11"/>
      <c r="D42" s="12">
        <v>0</v>
      </c>
      <c r="E42" s="12"/>
      <c r="F42" s="12">
        <v>0</v>
      </c>
      <c r="G42" s="12"/>
      <c r="H42" s="12"/>
      <c r="I42" s="12">
        <f>F42+G42+H42</f>
        <v>0</v>
      </c>
      <c r="J42" s="12">
        <f t="shared" si="1"/>
        <v>0</v>
      </c>
      <c r="K42" s="13"/>
    </row>
    <row r="43" spans="1:20" x14ac:dyDescent="0.2">
      <c r="A43" s="127"/>
      <c r="B43" s="131" t="s">
        <v>52</v>
      </c>
      <c r="C43" s="8" t="s">
        <v>53</v>
      </c>
      <c r="D43" s="9">
        <v>44432.979999999996</v>
      </c>
      <c r="E43" s="9"/>
      <c r="F43" s="9">
        <f>VLOOKUP(C43,'Kulud tegevusalade lõikes'!$A$4:$B$49,2,FALSE)</f>
        <v>61752.800000000003</v>
      </c>
      <c r="G43" s="9">
        <f>VLOOKUP(C43,'Kulud tegevusalade lõikes'!$A$4:$C$49,3,FALSE)</f>
        <v>0</v>
      </c>
      <c r="H43" s="9">
        <f>VLOOKUP(C43,'Kulud tegevusalade lõikes'!$A$4:$D$49,4,FALSE)</f>
        <v>0</v>
      </c>
      <c r="I43" s="9">
        <f>SUM(F43:H43)</f>
        <v>61752.800000000003</v>
      </c>
      <c r="J43" s="9">
        <f t="shared" si="1"/>
        <v>17319.820000000007</v>
      </c>
      <c r="K43" s="10">
        <f t="shared" si="3"/>
        <v>0.389796498006661</v>
      </c>
    </row>
    <row r="44" spans="1:20" x14ac:dyDescent="0.2">
      <c r="A44" s="127"/>
      <c r="B44" s="131"/>
      <c r="C44" s="8" t="s">
        <v>54</v>
      </c>
      <c r="D44" s="9">
        <v>745143.62</v>
      </c>
      <c r="E44" s="9"/>
      <c r="F44" s="9">
        <f>VLOOKUP(C44,'Kulud tegevusalade lõikes'!$A$4:$B$49,2,FALSE)</f>
        <v>875438.86999999988</v>
      </c>
      <c r="G44" s="9">
        <f>VLOOKUP(C44,'Kulud tegevusalade lõikes'!$A$4:$C$49,3,FALSE)</f>
        <v>0</v>
      </c>
      <c r="H44" s="9">
        <f>VLOOKUP(C44,'Kulud tegevusalade lõikes'!$A$4:$D$49,4,FALSE)</f>
        <v>0</v>
      </c>
      <c r="I44" s="9">
        <f t="shared" ref="I44:I57" si="14">SUM(F44:H44)</f>
        <v>875438.86999999988</v>
      </c>
      <c r="J44" s="9">
        <f t="shared" si="1"/>
        <v>130295.24999999988</v>
      </c>
      <c r="K44" s="10">
        <f t="shared" si="3"/>
        <v>0.1748592439132739</v>
      </c>
    </row>
    <row r="45" spans="1:20" x14ac:dyDescent="0.2">
      <c r="A45" s="127"/>
      <c r="B45" s="131"/>
      <c r="C45" s="8" t="s">
        <v>55</v>
      </c>
      <c r="D45" s="9">
        <v>15353.837750000006</v>
      </c>
      <c r="E45" s="9"/>
      <c r="F45" s="15">
        <f>VLOOKUP(C45,'Kulud tegevusalade lõikes'!$A$4:$B$49,2,FALSE)</f>
        <v>84183.656988000002</v>
      </c>
      <c r="G45" s="9">
        <f>VLOOKUP(C45,'Kulud tegevusalade lõikes'!$A$4:$C$49,3,FALSE)</f>
        <v>0</v>
      </c>
      <c r="H45" s="9">
        <f>VLOOKUP(C45,'Kulud tegevusalade lõikes'!$A$4:$D$49,4,FALSE)</f>
        <v>0</v>
      </c>
      <c r="I45" s="15">
        <f t="shared" si="14"/>
        <v>84183.656988000002</v>
      </c>
      <c r="J45" s="15">
        <f t="shared" si="1"/>
        <v>68829.819237999996</v>
      </c>
      <c r="K45" s="26">
        <f t="shared" si="3"/>
        <v>4.4829065122822449</v>
      </c>
    </row>
    <row r="46" spans="1:20" x14ac:dyDescent="0.2">
      <c r="A46" s="127"/>
      <c r="B46" s="131"/>
      <c r="C46" s="8" t="s">
        <v>56</v>
      </c>
      <c r="D46" s="9">
        <v>25000</v>
      </c>
      <c r="E46" s="9"/>
      <c r="F46" s="9">
        <v>0</v>
      </c>
      <c r="G46" s="9">
        <v>0</v>
      </c>
      <c r="H46" s="9">
        <v>0</v>
      </c>
      <c r="I46" s="9">
        <f t="shared" si="14"/>
        <v>0</v>
      </c>
      <c r="J46" s="9">
        <f t="shared" si="1"/>
        <v>-25000</v>
      </c>
      <c r="K46" s="10">
        <f t="shared" si="3"/>
        <v>-1</v>
      </c>
    </row>
    <row r="47" spans="1:20" x14ac:dyDescent="0.2">
      <c r="A47" s="127"/>
      <c r="B47" s="131"/>
      <c r="C47" s="8" t="s">
        <v>57</v>
      </c>
      <c r="D47" s="9">
        <v>33847.94</v>
      </c>
      <c r="E47" s="9"/>
      <c r="F47" s="9">
        <f>VLOOKUP(C47,'Kulud tegevusalade lõikes'!$A$4:$B$49,2,FALSE)</f>
        <v>39901.69</v>
      </c>
      <c r="G47" s="9">
        <f>VLOOKUP(C47,'Kulud tegevusalade lõikes'!$A$4:$C$49,3,FALSE)</f>
        <v>0</v>
      </c>
      <c r="H47" s="9">
        <f>VLOOKUP(C47,'Kulud tegevusalade lõikes'!$A$4:$D$49,4,FALSE)</f>
        <v>0</v>
      </c>
      <c r="I47" s="9">
        <f t="shared" si="14"/>
        <v>39901.69</v>
      </c>
      <c r="J47" s="9">
        <f t="shared" si="1"/>
        <v>6053.75</v>
      </c>
      <c r="K47" s="10">
        <f t="shared" si="3"/>
        <v>0.17885135698066115</v>
      </c>
    </row>
    <row r="48" spans="1:20" x14ac:dyDescent="0.2">
      <c r="A48" s="127"/>
      <c r="B48" s="131"/>
      <c r="C48" s="8" t="s">
        <v>58</v>
      </c>
      <c r="D48" s="9">
        <v>33907</v>
      </c>
      <c r="E48" s="9"/>
      <c r="F48" s="9">
        <f>VLOOKUP(C48,'Kulud tegevusalade lõikes'!$A$4:$B$49,2,FALSE)</f>
        <v>33961</v>
      </c>
      <c r="G48" s="9">
        <f>VLOOKUP(C48,'Kulud tegevusalade lõikes'!$A$4:$C$49,3,FALSE)</f>
        <v>0</v>
      </c>
      <c r="H48" s="9">
        <f>VLOOKUP(C48,'Kulud tegevusalade lõikes'!$A$4:$D$49,4,FALSE)</f>
        <v>0</v>
      </c>
      <c r="I48" s="9">
        <f t="shared" si="14"/>
        <v>33961</v>
      </c>
      <c r="J48" s="9">
        <f t="shared" si="1"/>
        <v>54</v>
      </c>
      <c r="K48" s="10">
        <f t="shared" si="3"/>
        <v>1.5925915002801781E-3</v>
      </c>
    </row>
    <row r="49" spans="1:11" x14ac:dyDescent="0.2">
      <c r="A49" s="127"/>
      <c r="B49" s="131"/>
      <c r="C49" s="18" t="s">
        <v>59</v>
      </c>
      <c r="D49" s="19">
        <f>SUM(D43:D48)</f>
        <v>897685.37774999999</v>
      </c>
      <c r="E49" s="19">
        <f>SUM(E43:E48)</f>
        <v>0</v>
      </c>
      <c r="F49" s="19">
        <f>SUM(F43:F48)</f>
        <v>1095238.0169879999</v>
      </c>
      <c r="G49" s="19">
        <f>SUM(G43:G48)</f>
        <v>0</v>
      </c>
      <c r="H49" s="19">
        <f>SUM(H43:H48)</f>
        <v>0</v>
      </c>
      <c r="I49" s="19">
        <f t="shared" si="14"/>
        <v>1095238.0169879999</v>
      </c>
      <c r="J49" s="19">
        <f t="shared" si="1"/>
        <v>197552.63923799992</v>
      </c>
      <c r="K49" s="20">
        <f t="shared" si="3"/>
        <v>0.22006890624993242</v>
      </c>
    </row>
    <row r="50" spans="1:11" x14ac:dyDescent="0.2">
      <c r="A50" s="127"/>
      <c r="B50" s="135" t="s">
        <v>60</v>
      </c>
      <c r="C50" s="25" t="s">
        <v>61</v>
      </c>
      <c r="D50" s="15">
        <v>1000</v>
      </c>
      <c r="E50" s="15"/>
      <c r="F50" s="9">
        <f>VLOOKUP(C50,'Kulud tegevusalade lõikes'!$A$4:$B$49,2,FALSE)</f>
        <v>1000</v>
      </c>
      <c r="G50" s="9">
        <f>VLOOKUP(C50,'Kulud tegevusalade lõikes'!$A$4:$C$49,3,FALSE)</f>
        <v>0</v>
      </c>
      <c r="H50" s="9">
        <f>VLOOKUP(C50,'Kulud tegevusalade lõikes'!$A$4:$D$49,4,FALSE)</f>
        <v>0</v>
      </c>
      <c r="I50" s="9">
        <f t="shared" si="14"/>
        <v>1000</v>
      </c>
      <c r="J50" s="15">
        <f t="shared" si="1"/>
        <v>0</v>
      </c>
      <c r="K50" s="26">
        <f t="shared" si="3"/>
        <v>0</v>
      </c>
    </row>
    <row r="51" spans="1:11" x14ac:dyDescent="0.2">
      <c r="A51" s="127"/>
      <c r="B51" s="136"/>
      <c r="C51" s="27" t="s">
        <v>62</v>
      </c>
      <c r="D51" s="19">
        <f>D50</f>
        <v>1000</v>
      </c>
      <c r="E51" s="19">
        <f>E50</f>
        <v>0</v>
      </c>
      <c r="F51" s="19">
        <f>F50</f>
        <v>1000</v>
      </c>
      <c r="G51" s="19">
        <f>G50</f>
        <v>0</v>
      </c>
      <c r="H51" s="19">
        <f>H50</f>
        <v>0</v>
      </c>
      <c r="I51" s="19">
        <f t="shared" si="14"/>
        <v>1000</v>
      </c>
      <c r="J51" s="19">
        <f t="shared" si="1"/>
        <v>0</v>
      </c>
      <c r="K51" s="20">
        <f t="shared" si="3"/>
        <v>0</v>
      </c>
    </row>
    <row r="52" spans="1:11" x14ac:dyDescent="0.2">
      <c r="A52" s="127"/>
      <c r="B52" s="131" t="s">
        <v>63</v>
      </c>
      <c r="C52" s="8" t="s">
        <v>64</v>
      </c>
      <c r="D52" s="9">
        <v>25969</v>
      </c>
      <c r="E52" s="9"/>
      <c r="F52" s="9">
        <f>VLOOKUP(C52,'Kulud tegevusalade lõikes'!$A$4:$B$49,2,FALSE)</f>
        <v>22510.1</v>
      </c>
      <c r="G52" s="9">
        <f>VLOOKUP(C52,'Kulud tegevusalade lõikes'!$A$4:$C$49,3,FALSE)</f>
        <v>0</v>
      </c>
      <c r="H52" s="9">
        <f>VLOOKUP(C52,'Kulud tegevusalade lõikes'!$A$4:$D$49,4,FALSE)</f>
        <v>0</v>
      </c>
      <c r="I52" s="9">
        <f t="shared" si="14"/>
        <v>22510.1</v>
      </c>
      <c r="J52" s="9">
        <f t="shared" si="1"/>
        <v>-3458.9000000000015</v>
      </c>
      <c r="K52" s="10">
        <f t="shared" si="3"/>
        <v>-0.13319342292733649</v>
      </c>
    </row>
    <row r="53" spans="1:11" x14ac:dyDescent="0.2">
      <c r="A53" s="127"/>
      <c r="B53" s="131"/>
      <c r="C53" s="18" t="s">
        <v>65</v>
      </c>
      <c r="D53" s="19">
        <f>SUM(D52:D52)</f>
        <v>25969</v>
      </c>
      <c r="E53" s="19">
        <f>SUM(E52:E52)</f>
        <v>0</v>
      </c>
      <c r="F53" s="19">
        <f>SUM(F52:F52)</f>
        <v>22510.1</v>
      </c>
      <c r="G53" s="19">
        <f>SUM(G52:G52)</f>
        <v>0</v>
      </c>
      <c r="H53" s="19">
        <f>SUM(H52:H52)</f>
        <v>0</v>
      </c>
      <c r="I53" s="19">
        <f t="shared" si="14"/>
        <v>22510.1</v>
      </c>
      <c r="J53" s="19">
        <f t="shared" si="1"/>
        <v>-3458.9000000000015</v>
      </c>
      <c r="K53" s="20">
        <f t="shared" si="3"/>
        <v>-0.13319342292733649</v>
      </c>
    </row>
    <row r="54" spans="1:11" x14ac:dyDescent="0.2">
      <c r="A54" s="127"/>
      <c r="B54" s="137" t="s">
        <v>66</v>
      </c>
      <c r="C54" s="8" t="s">
        <v>67</v>
      </c>
      <c r="D54" s="9">
        <v>812218.58</v>
      </c>
      <c r="E54" s="9"/>
      <c r="F54" s="9">
        <f>VLOOKUP(C54,'Kulud tegevusalade lõikes'!$A$4:$B$49,2,FALSE)</f>
        <v>485320</v>
      </c>
      <c r="G54" s="9">
        <f>VLOOKUP(C54,'Kulud tegevusalade lõikes'!$A$4:$C$49,3,FALSE)</f>
        <v>0</v>
      </c>
      <c r="H54" s="9">
        <f>VLOOKUP(C54,'Kulud tegevusalade lõikes'!$A$4:$D$49,4,FALSE)</f>
        <v>0</v>
      </c>
      <c r="I54" s="9">
        <f t="shared" si="14"/>
        <v>485320</v>
      </c>
      <c r="J54" s="9">
        <f t="shared" si="1"/>
        <v>-326898.57999999996</v>
      </c>
      <c r="K54" s="10">
        <f t="shared" si="3"/>
        <v>-0.40247611671232636</v>
      </c>
    </row>
    <row r="55" spans="1:11" x14ac:dyDescent="0.2">
      <c r="A55" s="127"/>
      <c r="B55" s="138"/>
      <c r="C55" s="8" t="s">
        <v>68</v>
      </c>
      <c r="D55" s="9">
        <v>60973.659999999996</v>
      </c>
      <c r="E55" s="9"/>
      <c r="F55" s="9">
        <f>VLOOKUP(C55,'Kulud tegevusalade lõikes'!$A$4:$B$49,2,FALSE)</f>
        <v>54399.6</v>
      </c>
      <c r="G55" s="9">
        <f>VLOOKUP(C55,'Kulud tegevusalade lõikes'!$A$4:$C$49,3,FALSE)</f>
        <v>0</v>
      </c>
      <c r="H55" s="9">
        <f>VLOOKUP(C55,'Kulud tegevusalade lõikes'!$A$4:$D$49,4,FALSE)</f>
        <v>0</v>
      </c>
      <c r="I55" s="9">
        <f t="shared" si="14"/>
        <v>54399.6</v>
      </c>
      <c r="J55" s="9">
        <f t="shared" si="1"/>
        <v>-6574.0599999999977</v>
      </c>
      <c r="K55" s="10">
        <f t="shared" si="3"/>
        <v>-0.10781803158937807</v>
      </c>
    </row>
    <row r="56" spans="1:11" x14ac:dyDescent="0.2">
      <c r="A56" s="127"/>
      <c r="B56" s="138"/>
      <c r="C56" s="8" t="s">
        <v>69</v>
      </c>
      <c r="D56" s="15">
        <v>294986.89999999997</v>
      </c>
      <c r="E56" s="15"/>
      <c r="F56" s="15">
        <f>VLOOKUP(C56,'Kulud tegevusalade lõikes'!$A$4:$B$49,2,FALSE)</f>
        <v>309260</v>
      </c>
      <c r="G56" s="15">
        <f>VLOOKUP(C56,'Kulud tegevusalade lõikes'!$A$4:$C$49,3,FALSE)</f>
        <v>0</v>
      </c>
      <c r="H56" s="9">
        <f>VLOOKUP(C56,'Kulud tegevusalade lõikes'!$A$4:$D$49,4,FALSE)</f>
        <v>0</v>
      </c>
      <c r="I56" s="15">
        <f t="shared" si="14"/>
        <v>309260</v>
      </c>
      <c r="J56" s="15">
        <f t="shared" si="1"/>
        <v>14273.100000000035</v>
      </c>
      <c r="K56" s="10">
        <f t="shared" si="3"/>
        <v>4.83855384764545E-2</v>
      </c>
    </row>
    <row r="57" spans="1:11" x14ac:dyDescent="0.2">
      <c r="A57" s="127"/>
      <c r="B57" s="139"/>
      <c r="C57" s="18" t="s">
        <v>70</v>
      </c>
      <c r="D57" s="19">
        <f>SUM(D54:D56)</f>
        <v>1168179.1399999999</v>
      </c>
      <c r="E57" s="19">
        <f>SUM(E54:E56)</f>
        <v>0</v>
      </c>
      <c r="F57" s="19">
        <f>SUM(F54:F56)</f>
        <v>848979.6</v>
      </c>
      <c r="G57" s="19">
        <f>SUM(G54:G56)</f>
        <v>0</v>
      </c>
      <c r="H57" s="19">
        <f>SUM(H54:H56)</f>
        <v>0</v>
      </c>
      <c r="I57" s="19">
        <f t="shared" si="14"/>
        <v>848979.6</v>
      </c>
      <c r="J57" s="19">
        <f t="shared" si="1"/>
        <v>-319199.53999999992</v>
      </c>
      <c r="K57" s="20">
        <f t="shared" si="3"/>
        <v>-0.27324536885669776</v>
      </c>
    </row>
    <row r="58" spans="1:11" x14ac:dyDescent="0.2">
      <c r="A58" s="127"/>
      <c r="B58" s="137" t="s">
        <v>71</v>
      </c>
      <c r="C58" s="8" t="s">
        <v>72</v>
      </c>
      <c r="D58" s="9">
        <v>9478.3999999999942</v>
      </c>
      <c r="E58" s="9"/>
      <c r="F58" s="9">
        <f>VLOOKUP(C58,'Kulud tegevusalade lõikes'!$A$4:$B$49,2,FALSE)</f>
        <v>9517.44</v>
      </c>
      <c r="G58" s="9">
        <f>VLOOKUP(C58,'Kulud tegevusalade lõikes'!$A$4:$C$49,3,FALSE)</f>
        <v>0</v>
      </c>
      <c r="H58" s="9">
        <f>VLOOKUP(C58,'Kulud tegevusalade lõikes'!$A$4:$D$49,4,FALSE)</f>
        <v>0</v>
      </c>
      <c r="I58" s="9">
        <f t="shared" ref="I58:I73" si="15">SUM(F58:H58)</f>
        <v>9517.44</v>
      </c>
      <c r="J58" s="9">
        <f t="shared" si="1"/>
        <v>39.04000000000633</v>
      </c>
      <c r="K58" s="10">
        <f t="shared" si="3"/>
        <v>4.1188386225530001E-3</v>
      </c>
    </row>
    <row r="59" spans="1:11" x14ac:dyDescent="0.2">
      <c r="A59" s="127"/>
      <c r="B59" s="138"/>
      <c r="C59" s="8" t="s">
        <v>73</v>
      </c>
      <c r="D59" s="9">
        <v>518.4</v>
      </c>
      <c r="E59" s="9"/>
      <c r="F59" s="9">
        <f>VLOOKUP(C59,'Kulud tegevusalade lõikes'!$A$4:$B$49,2,FALSE)</f>
        <v>518.4</v>
      </c>
      <c r="G59" s="9">
        <f>VLOOKUP(C59,'Kulud tegevusalade lõikes'!$A$4:$C$49,3,FALSE)</f>
        <v>0</v>
      </c>
      <c r="H59" s="9">
        <f>VLOOKUP(C59,'Kulud tegevusalade lõikes'!$A$4:$D$49,4,FALSE)</f>
        <v>0</v>
      </c>
      <c r="I59" s="9">
        <f t="shared" si="15"/>
        <v>518.4</v>
      </c>
      <c r="J59" s="9">
        <f t="shared" si="1"/>
        <v>0</v>
      </c>
      <c r="K59" s="10">
        <f t="shared" si="3"/>
        <v>0</v>
      </c>
    </row>
    <row r="60" spans="1:11" x14ac:dyDescent="0.2">
      <c r="A60" s="127"/>
      <c r="B60" s="139"/>
      <c r="C60" s="18" t="s">
        <v>74</v>
      </c>
      <c r="D60" s="19">
        <f>D58+D59</f>
        <v>9996.7999999999938</v>
      </c>
      <c r="E60" s="19">
        <f>E58+E59</f>
        <v>0</v>
      </c>
      <c r="F60" s="19">
        <f>F58+F59</f>
        <v>10035.84</v>
      </c>
      <c r="G60" s="19">
        <f>G58+G59</f>
        <v>0</v>
      </c>
      <c r="H60" s="19">
        <f>H58+H59</f>
        <v>0</v>
      </c>
      <c r="I60" s="19">
        <f t="shared" si="15"/>
        <v>10035.84</v>
      </c>
      <c r="J60" s="19">
        <f t="shared" si="1"/>
        <v>39.04000000000633</v>
      </c>
      <c r="K60" s="20">
        <f t="shared" si="3"/>
        <v>3.9052496798982028E-3</v>
      </c>
    </row>
    <row r="61" spans="1:11" x14ac:dyDescent="0.2">
      <c r="A61" s="127"/>
      <c r="B61" s="131" t="s">
        <v>75</v>
      </c>
      <c r="C61" s="8" t="s">
        <v>76</v>
      </c>
      <c r="D61" s="9">
        <v>700000</v>
      </c>
      <c r="E61" s="9"/>
      <c r="F61" s="9">
        <f>VLOOKUP(C61,'Kulud tegevusalade lõikes'!$A$4:$B$49,2,FALSE)</f>
        <v>300000</v>
      </c>
      <c r="G61" s="9">
        <f>VLOOKUP(C61,'Kulud tegevusalade lõikes'!$A$4:$C$49,3,FALSE)</f>
        <v>0</v>
      </c>
      <c r="H61" s="9">
        <f>VLOOKUP(C61,'Kulud tegevusalade lõikes'!$A$4:$D$49,4,FALSE)</f>
        <v>0</v>
      </c>
      <c r="I61" s="9">
        <f t="shared" si="15"/>
        <v>300000</v>
      </c>
      <c r="J61" s="9">
        <f t="shared" si="1"/>
        <v>-400000</v>
      </c>
      <c r="K61" s="10">
        <v>1</v>
      </c>
    </row>
    <row r="62" spans="1:11" x14ac:dyDescent="0.2">
      <c r="A62" s="127"/>
      <c r="B62" s="131"/>
      <c r="C62" s="8" t="s">
        <v>77</v>
      </c>
      <c r="D62" s="9">
        <v>809885.32</v>
      </c>
      <c r="E62" s="9"/>
      <c r="F62" s="9">
        <f>VLOOKUP(C62,'Kulud tegevusalade lõikes'!$A$4:$B$49,2,FALSE)</f>
        <v>102068.8</v>
      </c>
      <c r="G62" s="9">
        <f>VLOOKUP(C62,'Kulud tegevusalade lõikes'!$A$4:$C$49,3,FALSE)</f>
        <v>0</v>
      </c>
      <c r="H62" s="9">
        <f>VLOOKUP(C62,'Kulud tegevusalade lõikes'!$A$4:$D$49,4,FALSE)</f>
        <v>0</v>
      </c>
      <c r="I62" s="9">
        <f t="shared" si="15"/>
        <v>102068.8</v>
      </c>
      <c r="J62" s="9">
        <f t="shared" si="1"/>
        <v>-707816.5199999999</v>
      </c>
      <c r="K62" s="10">
        <f t="shared" si="3"/>
        <v>-0.87397129262696105</v>
      </c>
    </row>
    <row r="63" spans="1:11" x14ac:dyDescent="0.2">
      <c r="A63" s="127"/>
      <c r="B63" s="131"/>
      <c r="C63" s="8" t="s">
        <v>78</v>
      </c>
      <c r="D63" s="9">
        <v>832805.28999999992</v>
      </c>
      <c r="E63" s="9"/>
      <c r="F63" s="9">
        <f>VLOOKUP(C63,'Kulud tegevusalade lõikes'!$A$4:$B$49,2,FALSE)</f>
        <v>711059.91640000022</v>
      </c>
      <c r="G63" s="9">
        <f>VLOOKUP(C63,'Kulud tegevusalade lõikes'!$A$4:$C$49,3,FALSE)</f>
        <v>0</v>
      </c>
      <c r="H63" s="9">
        <f>VLOOKUP(C63,'Kulud tegevusalade lõikes'!$A$4:$D$49,4,FALSE)</f>
        <v>0</v>
      </c>
      <c r="I63" s="9">
        <f t="shared" si="15"/>
        <v>711059.91640000022</v>
      </c>
      <c r="J63" s="9">
        <f t="shared" si="1"/>
        <v>-121745.3735999997</v>
      </c>
      <c r="K63" s="10">
        <f t="shared" si="3"/>
        <v>-0.14618708005565109</v>
      </c>
    </row>
    <row r="64" spans="1:11" x14ac:dyDescent="0.2">
      <c r="A64" s="127"/>
      <c r="B64" s="131"/>
      <c r="C64" s="28" t="s">
        <v>79</v>
      </c>
      <c r="D64" s="29">
        <v>205888.69</v>
      </c>
      <c r="E64" s="29"/>
      <c r="F64" s="29">
        <f>VLOOKUP(C64,'Kulude ülevaade asutuste lõikes'!$A$4:$B$110,2,FALSE)</f>
        <v>176760.05000000002</v>
      </c>
      <c r="G64" s="29">
        <f>VLOOKUP(C64,'Kulude ülevaade asutuste lõikes'!$A$4:$C$110,3,FALSE)</f>
        <v>0</v>
      </c>
      <c r="H64" s="29">
        <f>VLOOKUP(C64,'Kulude ülevaade asutuste lõikes'!$A$3:$D$108,4,FALSE)</f>
        <v>0</v>
      </c>
      <c r="I64" s="29">
        <f t="shared" si="15"/>
        <v>176760.05000000002</v>
      </c>
      <c r="J64" s="15">
        <f t="shared" si="1"/>
        <v>-29128.639999999985</v>
      </c>
      <c r="K64" s="10">
        <f t="shared" si="3"/>
        <v>-0.14147761103341802</v>
      </c>
    </row>
    <row r="65" spans="1:20" x14ac:dyDescent="0.2">
      <c r="A65" s="127"/>
      <c r="B65" s="131"/>
      <c r="C65" s="28" t="s">
        <v>80</v>
      </c>
      <c r="D65" s="29">
        <v>296537.5</v>
      </c>
      <c r="E65" s="29"/>
      <c r="F65" s="29">
        <f>VLOOKUP(C65,'Kulude ülevaade asutuste lõikes'!$A$4:$B$110,2,FALSE)</f>
        <v>195319.84</v>
      </c>
      <c r="G65" s="29">
        <f>VLOOKUP(C65,'Kulude ülevaade asutuste lõikes'!$A$4:$C$110,3,FALSE)</f>
        <v>0</v>
      </c>
      <c r="H65" s="29">
        <f>VLOOKUP(C65,'Kulude ülevaade asutuste lõikes'!$A$3:$D$108,4,FALSE)</f>
        <v>0</v>
      </c>
      <c r="I65" s="29">
        <f t="shared" si="15"/>
        <v>195319.84</v>
      </c>
      <c r="J65" s="15">
        <f t="shared" si="1"/>
        <v>-101217.66</v>
      </c>
      <c r="K65" s="10">
        <f t="shared" si="3"/>
        <v>-0.3413317371327404</v>
      </c>
    </row>
    <row r="66" spans="1:20" x14ac:dyDescent="0.2">
      <c r="A66" s="127"/>
      <c r="B66" s="131"/>
      <c r="C66" s="28" t="s">
        <v>81</v>
      </c>
      <c r="D66" s="29">
        <v>255634.95</v>
      </c>
      <c r="E66" s="29"/>
      <c r="F66" s="29">
        <f>VLOOKUP(C66,'Kulude ülevaade asutuste lõikes'!$A$4:$B$110,2,FALSE)</f>
        <v>277943.52</v>
      </c>
      <c r="G66" s="29">
        <f>VLOOKUP(C66,'Kulude ülevaade asutuste lõikes'!$A$4:$C$110,3,FALSE)</f>
        <v>0</v>
      </c>
      <c r="H66" s="29">
        <f>VLOOKUP(C66,'Kulude ülevaade asutuste lõikes'!$A$3:$D$108,4,FALSE)</f>
        <v>0</v>
      </c>
      <c r="I66" s="29">
        <f t="shared" si="15"/>
        <v>277943.52</v>
      </c>
      <c r="J66" s="15">
        <f t="shared" si="1"/>
        <v>22308.570000000007</v>
      </c>
      <c r="K66" s="10">
        <f t="shared" si="3"/>
        <v>8.7267292676529579E-2</v>
      </c>
    </row>
    <row r="67" spans="1:20" x14ac:dyDescent="0.2">
      <c r="A67" s="127"/>
      <c r="B67" s="131"/>
      <c r="C67" s="28" t="s">
        <v>328</v>
      </c>
      <c r="D67" s="29">
        <v>40811.129999999997</v>
      </c>
      <c r="E67" s="29"/>
      <c r="F67" s="29">
        <f>VLOOKUP(C67,'Kulude ülevaade asutuste lõikes'!$A$4:$B$110,2,FALSE)</f>
        <v>32393.946400000001</v>
      </c>
      <c r="G67" s="29">
        <f>VLOOKUP(C67,'Kulude ülevaade asutuste lõikes'!$A$4:$C$110,3,FALSE)</f>
        <v>0</v>
      </c>
      <c r="H67" s="29">
        <f>VLOOKUP(C67,'Kulude ülevaade asutuste lõikes'!$A$3:$D$108,4,FALSE)</f>
        <v>0</v>
      </c>
      <c r="I67" s="29">
        <f t="shared" si="15"/>
        <v>32393.946400000001</v>
      </c>
      <c r="J67" s="15">
        <f t="shared" si="1"/>
        <v>-8417.1835999999967</v>
      </c>
      <c r="K67" s="10">
        <f t="shared" si="3"/>
        <v>-0.20624725656947007</v>
      </c>
    </row>
    <row r="68" spans="1:20" x14ac:dyDescent="0.2">
      <c r="A68" s="127"/>
      <c r="B68" s="131"/>
      <c r="C68" s="28" t="s">
        <v>332</v>
      </c>
      <c r="D68" s="29">
        <v>26270.620000000003</v>
      </c>
      <c r="E68" s="29"/>
      <c r="F68" s="29">
        <f>VLOOKUP(C68,'Kulude ülevaade asutuste lõikes'!$A$4:$B$110,2,FALSE)</f>
        <v>18980.16</v>
      </c>
      <c r="G68" s="29">
        <f>VLOOKUP(C68,'Kulude ülevaade asutuste lõikes'!$A$4:$C$110,3,FALSE)</f>
        <v>0</v>
      </c>
      <c r="H68" s="29">
        <f>VLOOKUP(C68,'Kulude ülevaade asutuste lõikes'!$A$3:$D$108,4,FALSE)</f>
        <v>0</v>
      </c>
      <c r="I68" s="29">
        <f t="shared" si="15"/>
        <v>18980.16</v>
      </c>
      <c r="J68" s="15">
        <f t="shared" si="1"/>
        <v>-7290.4600000000028</v>
      </c>
      <c r="K68" s="10">
        <f t="shared" si="3"/>
        <v>-0.27751381581401591</v>
      </c>
      <c r="N68" s="2" t="s">
        <v>52</v>
      </c>
      <c r="O68" s="23">
        <f>F49</f>
        <v>1095238.0169879999</v>
      </c>
    </row>
    <row r="69" spans="1:20" x14ac:dyDescent="0.2">
      <c r="A69" s="127"/>
      <c r="B69" s="131"/>
      <c r="C69" s="28" t="s">
        <v>684</v>
      </c>
      <c r="D69" s="29">
        <v>7662.4</v>
      </c>
      <c r="E69" s="29"/>
      <c r="F69" s="29">
        <f>VLOOKUP(C69,'Kulude ülevaade asutuste lõikes'!$A$4:$B$110,2,FALSE)</f>
        <v>9662.4</v>
      </c>
      <c r="G69" s="29">
        <f>VLOOKUP(C69,'Kulude ülevaade asutuste lõikes'!$A$4:$C$110,3,FALSE)</f>
        <v>0</v>
      </c>
      <c r="H69" s="29">
        <f>VLOOKUP(C69,'Kulude ülevaade asutuste lõikes'!$A$3:$D$108,4,FALSE)</f>
        <v>0</v>
      </c>
      <c r="I69" s="29">
        <f t="shared" si="15"/>
        <v>9662.4</v>
      </c>
      <c r="J69" s="15">
        <f t="shared" si="1"/>
        <v>2000</v>
      </c>
      <c r="K69" s="10">
        <f t="shared" si="3"/>
        <v>0.26101482564209649</v>
      </c>
      <c r="N69" s="2" t="s">
        <v>60</v>
      </c>
      <c r="O69" s="23">
        <f>F51</f>
        <v>1000</v>
      </c>
    </row>
    <row r="70" spans="1:20" x14ac:dyDescent="0.2">
      <c r="A70" s="127"/>
      <c r="B70" s="131"/>
      <c r="C70" s="18" t="s">
        <v>82</v>
      </c>
      <c r="D70" s="19">
        <f>SUM(D61:D63)</f>
        <v>2342690.61</v>
      </c>
      <c r="E70" s="19">
        <f>SUM(E61:E63)</f>
        <v>0</v>
      </c>
      <c r="F70" s="30">
        <f>SUM(F61:F63)</f>
        <v>1113128.7164000003</v>
      </c>
      <c r="G70" s="30">
        <f>SUM(G61:G63)</f>
        <v>0</v>
      </c>
      <c r="H70" s="30">
        <f>SUM(H61:H63)</f>
        <v>0</v>
      </c>
      <c r="I70" s="30">
        <f t="shared" si="15"/>
        <v>1113128.7164000003</v>
      </c>
      <c r="J70" s="19">
        <f t="shared" si="1"/>
        <v>-1229561.8935999996</v>
      </c>
      <c r="K70" s="20">
        <f t="shared" si="3"/>
        <v>-0.52485031030196505</v>
      </c>
      <c r="N70" s="2" t="s">
        <v>64</v>
      </c>
      <c r="O70" s="23">
        <f>F53</f>
        <v>22510.1</v>
      </c>
    </row>
    <row r="71" spans="1:20" x14ac:dyDescent="0.2">
      <c r="A71" s="127"/>
      <c r="B71" s="140" t="s">
        <v>83</v>
      </c>
      <c r="C71" s="8" t="s">
        <v>84</v>
      </c>
      <c r="D71" s="9">
        <v>38447</v>
      </c>
      <c r="E71" s="9"/>
      <c r="F71" s="9">
        <f>VLOOKUP(C71,'Kulud tegevusalade lõikes'!$A$4:$B$49,2,FALSE)</f>
        <v>36629</v>
      </c>
      <c r="G71" s="9">
        <f>VLOOKUP(C71,'Kulud tegevusalade lõikes'!$A$4:$C$49,3,FALSE)</f>
        <v>0</v>
      </c>
      <c r="H71" s="9">
        <f>VLOOKUP(C71,'Kulud tegevusalade lõikes'!$A$4:$D$49,4,FALSE)</f>
        <v>0</v>
      </c>
      <c r="I71" s="9">
        <f t="shared" si="15"/>
        <v>36629</v>
      </c>
      <c r="J71" s="9">
        <f t="shared" si="1"/>
        <v>-1818</v>
      </c>
      <c r="K71" s="10">
        <f t="shared" si="3"/>
        <v>-4.7285874060394827E-2</v>
      </c>
      <c r="N71" s="2" t="s">
        <v>66</v>
      </c>
      <c r="O71" s="23">
        <f>F57</f>
        <v>848979.6</v>
      </c>
    </row>
    <row r="72" spans="1:20" x14ac:dyDescent="0.2">
      <c r="A72" s="127"/>
      <c r="B72" s="141"/>
      <c r="C72" s="18" t="s">
        <v>85</v>
      </c>
      <c r="D72" s="19">
        <f>D71</f>
        <v>38447</v>
      </c>
      <c r="E72" s="19">
        <f>E71</f>
        <v>0</v>
      </c>
      <c r="F72" s="19">
        <f>F71</f>
        <v>36629</v>
      </c>
      <c r="G72" s="19">
        <f>G71</f>
        <v>0</v>
      </c>
      <c r="H72" s="19">
        <f>H71</f>
        <v>0</v>
      </c>
      <c r="I72" s="19">
        <f t="shared" si="15"/>
        <v>36629</v>
      </c>
      <c r="J72" s="19">
        <f t="shared" si="1"/>
        <v>-1818</v>
      </c>
      <c r="K72" s="20">
        <f t="shared" si="3"/>
        <v>-4.7285874060394827E-2</v>
      </c>
      <c r="N72" s="2" t="s">
        <v>71</v>
      </c>
      <c r="O72" s="23">
        <f>F60</f>
        <v>10035.84</v>
      </c>
    </row>
    <row r="73" spans="1:20" x14ac:dyDescent="0.2">
      <c r="A73" s="127"/>
      <c r="B73" s="142" t="s">
        <v>86</v>
      </c>
      <c r="C73" s="8" t="s">
        <v>87</v>
      </c>
      <c r="D73" s="9">
        <v>241991.86000000002</v>
      </c>
      <c r="E73" s="9"/>
      <c r="F73" s="9">
        <f>VLOOKUP(C73,'Kulud tegevusalade lõikes'!$A$4:$B$49,2,FALSE)</f>
        <v>237845.55</v>
      </c>
      <c r="G73" s="9">
        <f>VLOOKUP(C73,'Kulud tegevusalade lõikes'!$A$4:$C$49,3,FALSE)</f>
        <v>0</v>
      </c>
      <c r="H73" s="9">
        <f>VLOOKUP(C73,'Kulud tegevusalade lõikes'!$A$4:$D$49,4,FALSE)</f>
        <v>0</v>
      </c>
      <c r="I73" s="9">
        <f t="shared" si="15"/>
        <v>237845.55</v>
      </c>
      <c r="J73" s="9">
        <f t="shared" si="1"/>
        <v>-4146.3100000000268</v>
      </c>
      <c r="K73" s="10">
        <f t="shared" si="3"/>
        <v>-1.7134088725133261E-2</v>
      </c>
      <c r="N73" s="31" t="s">
        <v>75</v>
      </c>
      <c r="O73" s="32">
        <f>F70</f>
        <v>1113128.7164000003</v>
      </c>
      <c r="P73" s="31"/>
      <c r="Q73" s="31"/>
      <c r="R73" s="31"/>
      <c r="S73" s="31"/>
      <c r="T73" s="31"/>
    </row>
    <row r="74" spans="1:20" s="31" customFormat="1" x14ac:dyDescent="0.2">
      <c r="A74" s="127"/>
      <c r="B74" s="143"/>
      <c r="C74" s="28" t="s">
        <v>475</v>
      </c>
      <c r="D74" s="33">
        <v>120000</v>
      </c>
      <c r="E74" s="35"/>
      <c r="F74" s="29">
        <f>VLOOKUP(C74,'Kulude ülevaade asutuste lõikes'!$A$4:$B$110,2,FALSE)</f>
        <v>120000</v>
      </c>
      <c r="G74" s="29">
        <f>VLOOKUP(C74,'Kulude ülevaade asutuste lõikes'!$A$4:$C$110,3,FALSE)</f>
        <v>0</v>
      </c>
      <c r="H74" s="29">
        <f>VLOOKUP(C74,'Kulude ülevaade asutuste lõikes'!$A$3:$D$108,4,FALSE)</f>
        <v>0</v>
      </c>
      <c r="I74" s="29">
        <f t="shared" ref="I74:I98" si="16">SUM(F74:H74)</f>
        <v>120000</v>
      </c>
      <c r="J74" s="33">
        <f t="shared" si="1"/>
        <v>0</v>
      </c>
      <c r="K74" s="34">
        <f t="shared" si="3"/>
        <v>0</v>
      </c>
      <c r="N74" s="31" t="s">
        <v>83</v>
      </c>
      <c r="O74" s="32">
        <f>F72</f>
        <v>36629</v>
      </c>
    </row>
    <row r="75" spans="1:20" s="31" customFormat="1" x14ac:dyDescent="0.2">
      <c r="A75" s="127"/>
      <c r="B75" s="143"/>
      <c r="C75" s="28" t="s">
        <v>179</v>
      </c>
      <c r="D75" s="35">
        <v>43709.270000000004</v>
      </c>
      <c r="E75" s="35"/>
      <c r="F75" s="29">
        <f>VLOOKUP(C75,'Kulude ülevaade asutuste lõikes'!$A$4:$B$110,2,FALSE)</f>
        <v>45682.19</v>
      </c>
      <c r="G75" s="29">
        <f>VLOOKUP(C75,'Kulude ülevaade asutuste lõikes'!$A$4:$C$110,3,FALSE)</f>
        <v>0</v>
      </c>
      <c r="H75" s="29">
        <f>VLOOKUP(C75,'Kulude ülevaade asutuste lõikes'!$A$3:$D$108,4,FALSE)</f>
        <v>0</v>
      </c>
      <c r="I75" s="29">
        <f t="shared" si="16"/>
        <v>45682.19</v>
      </c>
      <c r="J75" s="35">
        <f t="shared" si="1"/>
        <v>1972.9199999999983</v>
      </c>
      <c r="K75" s="34">
        <f t="shared" si="3"/>
        <v>4.5137335855757785E-2</v>
      </c>
      <c r="N75" s="31" t="s">
        <v>88</v>
      </c>
      <c r="O75" s="32">
        <f>F99</f>
        <v>2825768.4780000001</v>
      </c>
    </row>
    <row r="76" spans="1:20" s="31" customFormat="1" x14ac:dyDescent="0.2">
      <c r="A76" s="127"/>
      <c r="B76" s="143"/>
      <c r="C76" s="83" t="s">
        <v>437</v>
      </c>
      <c r="D76" s="84">
        <v>4965.53</v>
      </c>
      <c r="E76" s="84"/>
      <c r="F76" s="85">
        <f>VLOOKUP(C76,'Kulude ülevaade asutuste lõikes'!$A$4:$B$110,2,FALSE)</f>
        <v>5866</v>
      </c>
      <c r="G76" s="85">
        <f>VLOOKUP(C76,'Kulude ülevaade asutuste lõikes'!$A$4:$C$110,3,FALSE)</f>
        <v>0</v>
      </c>
      <c r="H76" s="85">
        <f>VLOOKUP(C76,'Kulude ülevaade asutuste lõikes'!$A$3:$D$108,4,FALSE)</f>
        <v>0</v>
      </c>
      <c r="I76" s="85">
        <f t="shared" si="16"/>
        <v>5866</v>
      </c>
      <c r="J76" s="84">
        <f t="shared" si="1"/>
        <v>900.47000000000025</v>
      </c>
      <c r="K76" s="86">
        <f t="shared" si="3"/>
        <v>0.18134418682396447</v>
      </c>
      <c r="N76" s="2" t="s">
        <v>89</v>
      </c>
      <c r="O76" s="23">
        <f>F120</f>
        <v>6326957.7916000001</v>
      </c>
      <c r="P76" s="2"/>
      <c r="Q76" s="2"/>
      <c r="R76" s="2"/>
      <c r="S76" s="2"/>
      <c r="T76" s="2"/>
    </row>
    <row r="77" spans="1:20" x14ac:dyDescent="0.2">
      <c r="A77" s="127"/>
      <c r="B77" s="143"/>
      <c r="C77" s="94" t="s">
        <v>90</v>
      </c>
      <c r="D77" s="95">
        <v>100594.58</v>
      </c>
      <c r="E77" s="95"/>
      <c r="F77" s="95">
        <f>VLOOKUP(C77,'Kulud tegevusalade lõikes'!$A$4:$B$49,2,FALSE)</f>
        <v>104709.54000000001</v>
      </c>
      <c r="G77" s="95">
        <f>VLOOKUP(C77,'Kulud tegevusalade lõikes'!$A$4:$C$49,3,FALSE)</f>
        <v>0</v>
      </c>
      <c r="H77" s="95">
        <f>VLOOKUP(C77,'Kulud tegevusalade lõikes'!$A$4:$D$49,4,FALSE)</f>
        <v>0</v>
      </c>
      <c r="I77" s="95">
        <f t="shared" si="16"/>
        <v>104709.54000000001</v>
      </c>
      <c r="J77" s="95">
        <f t="shared" si="1"/>
        <v>4114.9600000000064</v>
      </c>
      <c r="K77" s="115">
        <f t="shared" si="3"/>
        <v>4.0906378852618164E-2</v>
      </c>
      <c r="L77" s="2" t="s">
        <v>1546</v>
      </c>
      <c r="N77" s="2" t="s">
        <v>91</v>
      </c>
      <c r="O77" s="23">
        <f>F138</f>
        <v>2483513.31</v>
      </c>
    </row>
    <row r="78" spans="1:20" x14ac:dyDescent="0.2">
      <c r="A78" s="127"/>
      <c r="B78" s="143"/>
      <c r="C78" s="8" t="s">
        <v>92</v>
      </c>
      <c r="D78" s="9">
        <v>273750</v>
      </c>
      <c r="E78" s="9"/>
      <c r="F78" s="9">
        <f>VLOOKUP(C78,'Kulud tegevusalade lõikes'!$A$4:$B$49,2,FALSE)</f>
        <v>306670</v>
      </c>
      <c r="G78" s="9">
        <f>VLOOKUP(C78,'Kulud tegevusalade lõikes'!$A$4:$C$49,3,FALSE)</f>
        <v>0</v>
      </c>
      <c r="H78" s="9">
        <f>VLOOKUP(C78,'Kulud tegevusalade lõikes'!$A$4:$D$49,4,FALSE)</f>
        <v>0</v>
      </c>
      <c r="I78" s="9">
        <f t="shared" si="16"/>
        <v>306670</v>
      </c>
      <c r="J78" s="9">
        <f t="shared" si="1"/>
        <v>32920</v>
      </c>
      <c r="K78" s="10">
        <f t="shared" si="3"/>
        <v>0.12025570776255708</v>
      </c>
    </row>
    <row r="79" spans="1:20" x14ac:dyDescent="0.2">
      <c r="A79" s="127"/>
      <c r="B79" s="143"/>
      <c r="C79" s="37" t="s">
        <v>724</v>
      </c>
      <c r="D79" s="9">
        <v>204000</v>
      </c>
      <c r="E79" s="9"/>
      <c r="F79" s="29">
        <f>VLOOKUP(C79,'Kulude ülevaade asutuste lõikes'!$A$4:$B$110,2,FALSE)</f>
        <v>239100</v>
      </c>
      <c r="G79" s="29">
        <f>VLOOKUP(C79,'Kulude ülevaade asutuste lõikes'!$A$4:$C$110,3,FALSE)</f>
        <v>0</v>
      </c>
      <c r="H79" s="29">
        <f>VLOOKUP(C79,'Kulude ülevaade asutuste lõikes'!$A$3:$D$108,4,FALSE)</f>
        <v>0</v>
      </c>
      <c r="I79" s="9">
        <f t="shared" si="16"/>
        <v>239100</v>
      </c>
      <c r="J79" s="9">
        <f t="shared" si="1"/>
        <v>35100</v>
      </c>
      <c r="K79" s="10">
        <f t="shared" si="3"/>
        <v>0.17205882352941176</v>
      </c>
    </row>
    <row r="80" spans="1:20" x14ac:dyDescent="0.2">
      <c r="A80" s="127"/>
      <c r="B80" s="143"/>
      <c r="C80" s="8" t="s">
        <v>93</v>
      </c>
      <c r="D80" s="9">
        <v>253448.13599999994</v>
      </c>
      <c r="E80" s="9"/>
      <c r="F80" s="9">
        <f>VLOOKUP(C80,'Kulud tegevusalade lõikes'!$A$4:$B$49,2,FALSE)</f>
        <v>1660389.7980000004</v>
      </c>
      <c r="G80" s="9">
        <f>VLOOKUP(C80,'Kulud tegevusalade lõikes'!$A$4:$C$49,3,FALSE)</f>
        <v>0</v>
      </c>
      <c r="H80" s="9">
        <f>VLOOKUP(C80,'Kulud tegevusalade lõikes'!$A$4:$D$49,4,FALSE)</f>
        <v>0</v>
      </c>
      <c r="I80" s="9">
        <f t="shared" si="16"/>
        <v>1660389.7980000004</v>
      </c>
      <c r="J80" s="9">
        <f t="shared" si="1"/>
        <v>1406941.6620000005</v>
      </c>
      <c r="K80" s="10">
        <f t="shared" si="3"/>
        <v>5.5512014576426036</v>
      </c>
      <c r="N80" s="31"/>
      <c r="O80" s="31"/>
      <c r="P80" s="31"/>
      <c r="Q80" s="31"/>
      <c r="R80" s="31"/>
      <c r="S80" s="31"/>
      <c r="T80" s="31"/>
    </row>
    <row r="81" spans="1:20" s="31" customFormat="1" x14ac:dyDescent="0.2">
      <c r="A81" s="127"/>
      <c r="B81" s="143"/>
      <c r="C81" s="28" t="s">
        <v>953</v>
      </c>
      <c r="D81" s="35">
        <v>124510.496</v>
      </c>
      <c r="E81" s="35"/>
      <c r="F81" s="29">
        <f>VLOOKUP(C81,'Kulude ülevaade asutuste lõikes'!$A$4:$B$110,2,FALSE)</f>
        <v>1468969.402</v>
      </c>
      <c r="G81" s="29">
        <f>VLOOKUP(C81,'Kulude ülevaade asutuste lõikes'!$A$4:$C$110,3,FALSE)</f>
        <v>0</v>
      </c>
      <c r="H81" s="29">
        <f>VLOOKUP(C81,'Kulude ülevaade asutuste lõikes'!$A$3:$D$108,4,FALSE)</f>
        <v>0</v>
      </c>
      <c r="I81" s="29">
        <f t="shared" si="16"/>
        <v>1468969.402</v>
      </c>
      <c r="J81" s="35">
        <f t="shared" si="1"/>
        <v>1344458.906</v>
      </c>
      <c r="K81" s="34">
        <f t="shared" si="3"/>
        <v>10.797956390760824</v>
      </c>
    </row>
    <row r="82" spans="1:20" s="31" customFormat="1" x14ac:dyDescent="0.2">
      <c r="A82" s="127"/>
      <c r="B82" s="143"/>
      <c r="C82" s="28" t="s">
        <v>230</v>
      </c>
      <c r="D82" s="35">
        <v>15987.67</v>
      </c>
      <c r="E82" s="35"/>
      <c r="F82" s="29">
        <f>VLOOKUP(C82,'Kulude ülevaade asutuste lõikes'!$A$4:$B$110,2,FALSE)</f>
        <v>67823.398000000001</v>
      </c>
      <c r="G82" s="29">
        <f>VLOOKUP(C82,'Kulude ülevaade asutuste lõikes'!$A$4:$C$110,3,FALSE)</f>
        <v>0</v>
      </c>
      <c r="H82" s="29">
        <f>VLOOKUP(C82,'Kulude ülevaade asutuste lõikes'!$A$3:$D$108,4,FALSE)</f>
        <v>0</v>
      </c>
      <c r="I82" s="29">
        <f t="shared" si="16"/>
        <v>67823.398000000001</v>
      </c>
      <c r="J82" s="35">
        <f t="shared" si="1"/>
        <v>51835.728000000003</v>
      </c>
      <c r="K82" s="34">
        <f t="shared" si="3"/>
        <v>3.2422315446841226</v>
      </c>
    </row>
    <row r="83" spans="1:20" s="31" customFormat="1" x14ac:dyDescent="0.2">
      <c r="A83" s="127"/>
      <c r="B83" s="143"/>
      <c r="C83" s="28" t="s">
        <v>244</v>
      </c>
      <c r="D83" s="35">
        <v>18920.669999999998</v>
      </c>
      <c r="E83" s="35"/>
      <c r="F83" s="29">
        <f>VLOOKUP(C83,'Kulude ülevaade asutuste lõikes'!$A$4:$B$110,2,FALSE)</f>
        <v>20334.697999999997</v>
      </c>
      <c r="G83" s="29">
        <f>VLOOKUP(C83,'Kulude ülevaade asutuste lõikes'!$A$4:$C$110,3,FALSE)</f>
        <v>0</v>
      </c>
      <c r="H83" s="29">
        <f>VLOOKUP(C83,'Kulude ülevaade asutuste lõikes'!$A$3:$D$108,4,FALSE)</f>
        <v>0</v>
      </c>
      <c r="I83" s="29">
        <f t="shared" si="16"/>
        <v>20334.697999999997</v>
      </c>
      <c r="J83" s="35">
        <f t="shared" si="1"/>
        <v>1414.0279999999984</v>
      </c>
      <c r="K83" s="34">
        <f t="shared" si="3"/>
        <v>7.4734562782396111E-2</v>
      </c>
    </row>
    <row r="84" spans="1:20" s="31" customFormat="1" x14ac:dyDescent="0.2">
      <c r="A84" s="127"/>
      <c r="B84" s="143"/>
      <c r="C84" s="28" t="s">
        <v>241</v>
      </c>
      <c r="D84" s="35">
        <v>13038.1</v>
      </c>
      <c r="E84" s="35"/>
      <c r="F84" s="29">
        <f>VLOOKUP(C84,'Kulude ülevaade asutuste lõikes'!$A$4:$B$110,2,FALSE)</f>
        <v>13197.524000000001</v>
      </c>
      <c r="G84" s="29">
        <f>VLOOKUP(C84,'Kulude ülevaade asutuste lõikes'!$A$4:$C$110,3,FALSE)</f>
        <v>0</v>
      </c>
      <c r="H84" s="29">
        <f>VLOOKUP(C84,'Kulude ülevaade asutuste lõikes'!$A$3:$D$108,4,FALSE)</f>
        <v>0</v>
      </c>
      <c r="I84" s="29">
        <f t="shared" si="16"/>
        <v>13197.524000000001</v>
      </c>
      <c r="J84" s="35">
        <f t="shared" si="1"/>
        <v>159.42400000000089</v>
      </c>
      <c r="K84" s="34">
        <f t="shared" si="3"/>
        <v>1.222754849249514E-2</v>
      </c>
    </row>
    <row r="85" spans="1:20" s="31" customFormat="1" x14ac:dyDescent="0.2">
      <c r="A85" s="127"/>
      <c r="B85" s="143"/>
      <c r="C85" s="28" t="s">
        <v>94</v>
      </c>
      <c r="D85" s="35">
        <v>29088.620000000003</v>
      </c>
      <c r="E85" s="35"/>
      <c r="F85" s="29">
        <f>VLOOKUP(C85,'Kulude ülevaade asutuste lõikes'!$A$4:$B$110,2,FALSE)</f>
        <v>29983.108</v>
      </c>
      <c r="G85" s="29">
        <f>VLOOKUP(C85,'Kulude ülevaade asutuste lõikes'!$A$4:$C$110,3,FALSE)</f>
        <v>0</v>
      </c>
      <c r="H85" s="29">
        <f>VLOOKUP(C85,'Kulude ülevaade asutuste lõikes'!$A$3:$D$108,4,FALSE)</f>
        <v>0</v>
      </c>
      <c r="I85" s="29">
        <f t="shared" si="16"/>
        <v>29983.108</v>
      </c>
      <c r="J85" s="35">
        <f t="shared" si="1"/>
        <v>894.48799999999756</v>
      </c>
      <c r="K85" s="34">
        <f t="shared" si="3"/>
        <v>3.0750444675615326E-2</v>
      </c>
    </row>
    <row r="86" spans="1:20" s="31" customFormat="1" x14ac:dyDescent="0.2">
      <c r="A86" s="127"/>
      <c r="B86" s="143"/>
      <c r="C86" s="28" t="s">
        <v>95</v>
      </c>
      <c r="D86" s="35">
        <v>51902.58</v>
      </c>
      <c r="E86" s="35"/>
      <c r="F86" s="29">
        <f>VLOOKUP(C86,'Kulude ülevaade asutuste lõikes'!$A$4:$B$110,2,FALSE)</f>
        <v>60081.667999999991</v>
      </c>
      <c r="G86" s="29">
        <f>VLOOKUP(C86,'Kulude ülevaade asutuste lõikes'!$A$4:$C$110,3,FALSE)</f>
        <v>0</v>
      </c>
      <c r="H86" s="29">
        <f>VLOOKUP(C86,'Kulude ülevaade asutuste lõikes'!$A$3:$D$108,4,FALSE)</f>
        <v>0</v>
      </c>
      <c r="I86" s="29">
        <f t="shared" si="16"/>
        <v>60081.667999999991</v>
      </c>
      <c r="J86" s="35">
        <f t="shared" si="1"/>
        <v>8179.0879999999888</v>
      </c>
      <c r="K86" s="34">
        <f t="shared" si="3"/>
        <v>0.15758538400210526</v>
      </c>
      <c r="N86" s="2"/>
      <c r="O86" s="2"/>
      <c r="P86" s="2"/>
      <c r="Q86" s="2"/>
      <c r="R86" s="2"/>
      <c r="S86" s="2"/>
      <c r="T86" s="2"/>
    </row>
    <row r="87" spans="1:20" x14ac:dyDescent="0.2">
      <c r="A87" s="127"/>
      <c r="B87" s="143"/>
      <c r="C87" s="8" t="s">
        <v>96</v>
      </c>
      <c r="D87" s="9">
        <v>523619.72999999992</v>
      </c>
      <c r="E87" s="9"/>
      <c r="F87" s="9">
        <f>VLOOKUP(C87,'Kulud tegevusalade lõikes'!$A$4:$B$49,2,FALSE)</f>
        <v>429328.63</v>
      </c>
      <c r="G87" s="9">
        <f>VLOOKUP(C87,'Kulud tegevusalade lõikes'!$A$4:$C$49,3,FALSE)</f>
        <v>0</v>
      </c>
      <c r="H87" s="9">
        <f>VLOOKUP(C87,'Kulud tegevusalade lõikes'!$A$4:$D$49,4,FALSE)</f>
        <v>0</v>
      </c>
      <c r="I87" s="9">
        <f t="shared" si="16"/>
        <v>429328.63</v>
      </c>
      <c r="J87" s="9">
        <f t="shared" si="1"/>
        <v>-94291.099999999919</v>
      </c>
      <c r="K87" s="10">
        <f t="shared" si="3"/>
        <v>-0.18007552923951115</v>
      </c>
      <c r="N87" s="36"/>
      <c r="O87" s="36"/>
      <c r="P87" s="36"/>
      <c r="Q87" s="36"/>
      <c r="R87" s="36"/>
      <c r="S87" s="36"/>
      <c r="T87" s="36"/>
    </row>
    <row r="88" spans="1:20" s="36" customFormat="1" x14ac:dyDescent="0.2">
      <c r="A88" s="127"/>
      <c r="B88" s="143"/>
      <c r="C88" s="37" t="s">
        <v>224</v>
      </c>
      <c r="D88" s="33">
        <v>39483.78</v>
      </c>
      <c r="E88" s="35"/>
      <c r="F88" s="29">
        <v>0</v>
      </c>
      <c r="G88" s="29">
        <v>0</v>
      </c>
      <c r="H88" s="29">
        <v>0</v>
      </c>
      <c r="I88" s="29">
        <f t="shared" si="16"/>
        <v>0</v>
      </c>
      <c r="J88" s="33">
        <f t="shared" si="1"/>
        <v>-39483.78</v>
      </c>
      <c r="K88" s="34">
        <f t="shared" si="3"/>
        <v>-1</v>
      </c>
    </row>
    <row r="89" spans="1:20" s="36" customFormat="1" x14ac:dyDescent="0.2">
      <c r="A89" s="127"/>
      <c r="B89" s="143"/>
      <c r="C89" s="37" t="s">
        <v>210</v>
      </c>
      <c r="D89" s="33">
        <v>89760.38</v>
      </c>
      <c r="E89" s="35"/>
      <c r="F89" s="29">
        <f>VLOOKUP(C89,'Kulude ülevaade asutuste lõikes'!$A$4:$B$110,2,FALSE)</f>
        <v>82862.240000000005</v>
      </c>
      <c r="G89" s="29">
        <f>VLOOKUP(C89,'Kulude ülevaade asutuste lõikes'!$A$4:$C$110,3,FALSE)</f>
        <v>0</v>
      </c>
      <c r="H89" s="29">
        <f>VLOOKUP(C89,'Kulude ülevaade asutuste lõikes'!$A$3:$D$108,4,FALSE)</f>
        <v>0</v>
      </c>
      <c r="I89" s="29">
        <f t="shared" si="16"/>
        <v>82862.240000000005</v>
      </c>
      <c r="J89" s="33">
        <f t="shared" si="1"/>
        <v>-6898.1399999999994</v>
      </c>
      <c r="K89" s="34">
        <f t="shared" si="3"/>
        <v>-7.6850610480927103E-2</v>
      </c>
    </row>
    <row r="90" spans="1:20" s="36" customFormat="1" x14ac:dyDescent="0.2">
      <c r="A90" s="127"/>
      <c r="B90" s="143"/>
      <c r="C90" s="37" t="s">
        <v>204</v>
      </c>
      <c r="D90" s="35">
        <v>71628.630000000019</v>
      </c>
      <c r="E90" s="35"/>
      <c r="F90" s="29">
        <f>VLOOKUP(C90,'Kulude ülevaade asutuste lõikes'!$A$4:$B$110,2,FALSE)</f>
        <v>74551.63</v>
      </c>
      <c r="G90" s="29">
        <f>VLOOKUP(C90,'Kulude ülevaade asutuste lõikes'!$A$4:$C$110,3,FALSE)</f>
        <v>0</v>
      </c>
      <c r="H90" s="29">
        <f>VLOOKUP(C90,'Kulude ülevaade asutuste lõikes'!$A$3:$D$108,4,FALSE)</f>
        <v>0</v>
      </c>
      <c r="I90" s="29">
        <f t="shared" si="16"/>
        <v>74551.63</v>
      </c>
      <c r="J90" s="35">
        <f t="shared" si="1"/>
        <v>2922.9999999999854</v>
      </c>
      <c r="K90" s="34">
        <f t="shared" si="3"/>
        <v>4.0807704963783123E-2</v>
      </c>
    </row>
    <row r="91" spans="1:20" s="36" customFormat="1" x14ac:dyDescent="0.2">
      <c r="A91" s="127"/>
      <c r="B91" s="143"/>
      <c r="C91" s="37" t="s">
        <v>97</v>
      </c>
      <c r="D91" s="33">
        <v>0</v>
      </c>
      <c r="E91" s="35"/>
      <c r="F91" s="29">
        <v>0</v>
      </c>
      <c r="G91" s="29">
        <v>0</v>
      </c>
      <c r="H91" s="29">
        <v>0</v>
      </c>
      <c r="I91" s="29">
        <f t="shared" si="16"/>
        <v>0</v>
      </c>
      <c r="J91" s="33">
        <f t="shared" si="1"/>
        <v>0</v>
      </c>
      <c r="K91" s="34" t="e">
        <f t="shared" si="3"/>
        <v>#DIV/0!</v>
      </c>
    </row>
    <row r="92" spans="1:20" s="36" customFormat="1" x14ac:dyDescent="0.2">
      <c r="A92" s="127"/>
      <c r="B92" s="143"/>
      <c r="C92" s="37" t="s">
        <v>98</v>
      </c>
      <c r="D92" s="35">
        <v>230879.38</v>
      </c>
      <c r="E92" s="35"/>
      <c r="F92" s="29">
        <f>VLOOKUP(C92,'Kulude ülevaade asutuste lõikes'!$A$4:$B$110,2,FALSE)</f>
        <v>196708.84</v>
      </c>
      <c r="G92" s="29">
        <f>VLOOKUP(C92,'Kulude ülevaade asutuste lõikes'!$A$4:$C$110,3,FALSE)</f>
        <v>0</v>
      </c>
      <c r="H92" s="29">
        <f>VLOOKUP(C92,'Kulude ülevaade asutuste lõikes'!$A$3:$D$108,4,FALSE)</f>
        <v>0</v>
      </c>
      <c r="I92" s="29">
        <f t="shared" si="16"/>
        <v>196708.84</v>
      </c>
      <c r="J92" s="35">
        <f t="shared" si="1"/>
        <v>-34170.540000000008</v>
      </c>
      <c r="K92" s="34">
        <f t="shared" si="3"/>
        <v>-0.14800169681675343</v>
      </c>
    </row>
    <row r="93" spans="1:20" s="36" customFormat="1" x14ac:dyDescent="0.2">
      <c r="A93" s="127"/>
      <c r="B93" s="143"/>
      <c r="C93" s="37" t="s">
        <v>99</v>
      </c>
      <c r="D93" s="35">
        <v>47492.619999999995</v>
      </c>
      <c r="E93" s="35"/>
      <c r="F93" s="29">
        <f>VLOOKUP(C93,'Kulude ülevaade asutuste lõikes'!$A$4:$B$110,2,FALSE)</f>
        <v>29972.82</v>
      </c>
      <c r="G93" s="29">
        <f>VLOOKUP(C93,'Kulude ülevaade asutuste lõikes'!$A$4:$C$110,3,FALSE)</f>
        <v>0</v>
      </c>
      <c r="H93" s="29">
        <f>VLOOKUP(C93,'Kulude ülevaade asutuste lõikes'!$A$3:$D$108,4,FALSE)</f>
        <v>0</v>
      </c>
      <c r="I93" s="29">
        <f t="shared" si="16"/>
        <v>29972.82</v>
      </c>
      <c r="J93" s="35">
        <f t="shared" si="1"/>
        <v>-17519.799999999996</v>
      </c>
      <c r="K93" s="34">
        <f t="shared" si="3"/>
        <v>-0.36889520940306086</v>
      </c>
    </row>
    <row r="94" spans="1:20" s="36" customFormat="1" x14ac:dyDescent="0.2">
      <c r="A94" s="127"/>
      <c r="B94" s="143"/>
      <c r="C94" s="37" t="s">
        <v>100</v>
      </c>
      <c r="D94" s="35">
        <v>44374.939999999995</v>
      </c>
      <c r="E94" s="35"/>
      <c r="F94" s="29">
        <f>VLOOKUP(C94,'Kulude ülevaade asutuste lõikes'!$A$4:$B$110,2,FALSE)</f>
        <v>45233.100000000006</v>
      </c>
      <c r="G94" s="29">
        <f>VLOOKUP(C94,'Kulude ülevaade asutuste lõikes'!$A$4:$C$110,3,FALSE)</f>
        <v>0</v>
      </c>
      <c r="H94" s="29">
        <f>VLOOKUP(C94,'Kulude ülevaade asutuste lõikes'!$A$3:$D$108,4,FALSE)</f>
        <v>0</v>
      </c>
      <c r="I94" s="29">
        <f t="shared" si="16"/>
        <v>45233.100000000006</v>
      </c>
      <c r="J94" s="35">
        <f t="shared" si="1"/>
        <v>858.16000000001077</v>
      </c>
      <c r="K94" s="34">
        <f t="shared" si="3"/>
        <v>1.9338843049703524E-2</v>
      </c>
      <c r="N94" s="2"/>
      <c r="O94" s="2"/>
      <c r="P94" s="2"/>
      <c r="Q94" s="2"/>
      <c r="R94" s="2"/>
      <c r="S94" s="2"/>
      <c r="T94" s="2"/>
    </row>
    <row r="95" spans="1:20" x14ac:dyDescent="0.2">
      <c r="A95" s="127"/>
      <c r="B95" s="143"/>
      <c r="C95" s="8" t="s">
        <v>101</v>
      </c>
      <c r="D95" s="9">
        <v>39425.360000000001</v>
      </c>
      <c r="E95" s="9"/>
      <c r="F95" s="9">
        <f>VLOOKUP(C95,'Kulud tegevusalade lõikes'!$A$4:$B$49,2,FALSE)</f>
        <v>41376.959999999999</v>
      </c>
      <c r="G95" s="9">
        <f>VLOOKUP(C95,'Kulud tegevusalade lõikes'!$A$4:$C$49,3,FALSE)</f>
        <v>0</v>
      </c>
      <c r="H95" s="9">
        <f>VLOOKUP(C95,'Kulud tegevusalade lõikes'!$A$4:$D$49,4,FALSE)</f>
        <v>0</v>
      </c>
      <c r="I95" s="9">
        <f t="shared" si="16"/>
        <v>41376.959999999999</v>
      </c>
      <c r="J95" s="9">
        <f t="shared" si="1"/>
        <v>1951.5999999999985</v>
      </c>
      <c r="K95" s="10">
        <v>1</v>
      </c>
      <c r="N95" s="31"/>
      <c r="O95" s="31"/>
      <c r="P95" s="31"/>
      <c r="Q95" s="31"/>
      <c r="R95" s="31"/>
      <c r="S95" s="31"/>
      <c r="T95" s="31"/>
    </row>
    <row r="96" spans="1:20" s="31" customFormat="1" x14ac:dyDescent="0.2">
      <c r="A96" s="127"/>
      <c r="B96" s="143"/>
      <c r="C96" s="28" t="s">
        <v>102</v>
      </c>
      <c r="D96" s="33">
        <v>39425.360000000001</v>
      </c>
      <c r="E96" s="33"/>
      <c r="F96" s="29">
        <f>VLOOKUP(C96,'Kulude ülevaade asutuste lõikes'!$A$4:$B$110,2,FALSE)</f>
        <v>41376.959999999999</v>
      </c>
      <c r="G96" s="29">
        <f>VLOOKUP(C96,'Kulude ülevaade asutuste lõikes'!$A$4:$C$110,3,FALSE)</f>
        <v>0</v>
      </c>
      <c r="H96" s="29">
        <f>VLOOKUP(C96,'Kulude ülevaade asutuste lõikes'!$A$3:$D$108,4,FALSE)</f>
        <v>0</v>
      </c>
      <c r="I96" s="29">
        <f t="shared" si="16"/>
        <v>41376.959999999999</v>
      </c>
      <c r="J96" s="33">
        <f t="shared" si="1"/>
        <v>1951.5999999999985</v>
      </c>
      <c r="K96" s="34">
        <v>1</v>
      </c>
      <c r="N96" s="2"/>
      <c r="O96" s="2"/>
      <c r="P96" s="2"/>
      <c r="Q96" s="2"/>
      <c r="R96" s="2"/>
      <c r="S96" s="2"/>
      <c r="T96" s="2"/>
    </row>
    <row r="97" spans="1:20" x14ac:dyDescent="0.2">
      <c r="A97" s="127"/>
      <c r="B97" s="143"/>
      <c r="C97" s="8" t="s">
        <v>103</v>
      </c>
      <c r="D97" s="9">
        <v>14000</v>
      </c>
      <c r="E97" s="9"/>
      <c r="F97" s="9">
        <f>VLOOKUP(C97,'Kulud tegevusalade lõikes'!$A$4:$B$49,2,FALSE)</f>
        <v>16000</v>
      </c>
      <c r="G97" s="9">
        <f>VLOOKUP(C97,'Kulud tegevusalade lõikes'!$A$4:$C$49,3,FALSE)</f>
        <v>0</v>
      </c>
      <c r="H97" s="9">
        <f>VLOOKUP(C97,'Kulud tegevusalade lõikes'!$A$4:$D$49,4,FALSE)</f>
        <v>0</v>
      </c>
      <c r="I97" s="9">
        <f t="shared" si="16"/>
        <v>16000</v>
      </c>
      <c r="J97" s="9">
        <f t="shared" si="1"/>
        <v>2000</v>
      </c>
      <c r="K97" s="10">
        <f t="shared" si="3"/>
        <v>0.14285714285714285</v>
      </c>
    </row>
    <row r="98" spans="1:20" x14ac:dyDescent="0.2">
      <c r="A98" s="127"/>
      <c r="B98" s="143"/>
      <c r="C98" s="8" t="s">
        <v>104</v>
      </c>
      <c r="D98" s="9">
        <v>25447.360000000001</v>
      </c>
      <c r="E98" s="9"/>
      <c r="F98" s="9">
        <f>VLOOKUP(C98,'Kulud tegevusalade lõikes'!$A$4:$B$49,2,FALSE)</f>
        <v>29448</v>
      </c>
      <c r="G98" s="9">
        <f>VLOOKUP(C98,'Kulud tegevusalade lõikes'!$A$4:$C$49,3,FALSE)</f>
        <v>0</v>
      </c>
      <c r="H98" s="9">
        <f>VLOOKUP(C98,'Kulud tegevusalade lõikes'!$A$4:$D$49,4,FALSE)</f>
        <v>0</v>
      </c>
      <c r="I98" s="9">
        <f t="shared" si="16"/>
        <v>29448</v>
      </c>
      <c r="J98" s="9">
        <f t="shared" ref="J98:J138" si="17">F98-D98</f>
        <v>4000.6399999999994</v>
      </c>
      <c r="K98" s="10">
        <f t="shared" ref="K98:K139" si="18">(F98-D98)/D98</f>
        <v>0.15721237880864652</v>
      </c>
    </row>
    <row r="99" spans="1:20" x14ac:dyDescent="0.2">
      <c r="A99" s="127"/>
      <c r="B99" s="144"/>
      <c r="C99" s="18" t="s">
        <v>105</v>
      </c>
      <c r="D99" s="19">
        <f>D73+D77+D78+D80+D87+D95+D97+D98</f>
        <v>1472277.0260000001</v>
      </c>
      <c r="E99" s="19">
        <f>E73+E77+E78+E80+E87+E95+E97+E98</f>
        <v>0</v>
      </c>
      <c r="F99" s="19">
        <f>F73+F77+F78+F80+F87+F95+F97+F98</f>
        <v>2825768.4780000001</v>
      </c>
      <c r="G99" s="19">
        <f>G73+G77+G78+G80+G87+G95+G97+G98</f>
        <v>0</v>
      </c>
      <c r="H99" s="19">
        <f>H73+H77+H78+H80+H87+H95+H97+H98</f>
        <v>0</v>
      </c>
      <c r="I99" s="19">
        <f>SUM(F99:H99)</f>
        <v>2825768.4780000001</v>
      </c>
      <c r="J99" s="19">
        <f t="shared" si="17"/>
        <v>1353491.452</v>
      </c>
      <c r="K99" s="20">
        <f t="shared" si="18"/>
        <v>0.91931846255678784</v>
      </c>
    </row>
    <row r="100" spans="1:20" x14ac:dyDescent="0.2">
      <c r="A100" s="127"/>
      <c r="B100" s="140" t="s">
        <v>89</v>
      </c>
      <c r="C100" s="8" t="s">
        <v>106</v>
      </c>
      <c r="D100" s="15">
        <v>1587608.6746666664</v>
      </c>
      <c r="E100" s="15"/>
      <c r="F100" s="9">
        <f>VLOOKUP(C100,'Kulud tegevusalade lõikes'!$A$4:$B$49,2,FALSE)</f>
        <v>1832967.0511999996</v>
      </c>
      <c r="G100" s="9">
        <f>VLOOKUP(C100,'Kulud tegevusalade lõikes'!$A$4:$C$49,3,FALSE)</f>
        <v>0</v>
      </c>
      <c r="H100" s="9">
        <f>VLOOKUP(C100,'Kulud tegevusalade lõikes'!$A$4:$D$49,4,FALSE)</f>
        <v>0</v>
      </c>
      <c r="I100" s="9">
        <f>SUM(F100:H100)</f>
        <v>1832967.0511999996</v>
      </c>
      <c r="J100" s="9">
        <f t="shared" si="17"/>
        <v>245358.37653333321</v>
      </c>
      <c r="K100" s="10">
        <f t="shared" si="18"/>
        <v>0.15454587799153249</v>
      </c>
      <c r="N100" s="36"/>
      <c r="O100" s="36"/>
      <c r="P100" s="36"/>
      <c r="Q100" s="36"/>
      <c r="R100" s="36"/>
      <c r="S100" s="36"/>
      <c r="T100" s="36"/>
    </row>
    <row r="101" spans="1:20" s="36" customFormat="1" x14ac:dyDescent="0.2">
      <c r="A101" s="127"/>
      <c r="B101" s="145"/>
      <c r="C101" s="37" t="s">
        <v>304</v>
      </c>
      <c r="D101" s="35">
        <v>541552.49466666672</v>
      </c>
      <c r="E101" s="35"/>
      <c r="F101" s="29">
        <f>VLOOKUP(C101,'Kulude ülevaade asutuste lõikes'!$A$4:$B$110,2,FALSE)</f>
        <v>587709.45199999993</v>
      </c>
      <c r="G101" s="29">
        <f>VLOOKUP(C101,'Kulude ülevaade asutuste lõikes'!$A$4:$C$110,3,FALSE)</f>
        <v>0</v>
      </c>
      <c r="H101" s="29">
        <f>VLOOKUP(C101,'Kulude ülevaade asutuste lõikes'!$A$3:$D$108,4,FALSE)</f>
        <v>0</v>
      </c>
      <c r="I101" s="29">
        <f t="shared" ref="I101:I119" si="19">SUM(F101:H101)</f>
        <v>587709.45199999993</v>
      </c>
      <c r="J101" s="35">
        <f t="shared" si="17"/>
        <v>46156.957333333208</v>
      </c>
      <c r="K101" s="34">
        <f t="shared" si="18"/>
        <v>8.5230809178976213E-2</v>
      </c>
      <c r="L101" s="61"/>
    </row>
    <row r="102" spans="1:20" s="36" customFormat="1" x14ac:dyDescent="0.2">
      <c r="A102" s="127"/>
      <c r="B102" s="145"/>
      <c r="C102" s="37" t="s">
        <v>921</v>
      </c>
      <c r="D102" s="35">
        <v>290332.61999999994</v>
      </c>
      <c r="E102" s="35"/>
      <c r="F102" s="29">
        <f>VLOOKUP(C102,'Kulude ülevaade asutuste lõikes'!$A$4:$B$110,2,FALSE)</f>
        <v>359996.55640000006</v>
      </c>
      <c r="G102" s="29">
        <f>VLOOKUP(C102,'Kulude ülevaade asutuste lõikes'!$A$4:$C$110,3,FALSE)</f>
        <v>0</v>
      </c>
      <c r="H102" s="29">
        <f>VLOOKUP(C102,'Kulude ülevaade asutuste lõikes'!$A$3:$D$108,4,FALSE)</f>
        <v>0</v>
      </c>
      <c r="I102" s="29">
        <f t="shared" si="19"/>
        <v>359996.55640000006</v>
      </c>
      <c r="J102" s="35">
        <f t="shared" si="17"/>
        <v>69663.936400000122</v>
      </c>
      <c r="K102" s="34">
        <f t="shared" si="18"/>
        <v>0.23994526140397224</v>
      </c>
    </row>
    <row r="103" spans="1:20" s="36" customFormat="1" x14ac:dyDescent="0.2">
      <c r="A103" s="127"/>
      <c r="B103" s="145"/>
      <c r="C103" s="37" t="s">
        <v>294</v>
      </c>
      <c r="D103" s="35">
        <v>173233.49999999997</v>
      </c>
      <c r="E103" s="35"/>
      <c r="F103" s="29">
        <f>VLOOKUP(C103,'Kulude ülevaade asutuste lõikes'!$A$4:$B$110,2,FALSE)</f>
        <v>201231.55880000003</v>
      </c>
      <c r="G103" s="29">
        <f>VLOOKUP(C103,'Kulude ülevaade asutuste lõikes'!$A$4:$C$110,3,FALSE)</f>
        <v>0</v>
      </c>
      <c r="H103" s="29">
        <f>VLOOKUP(C103,'Kulude ülevaade asutuste lõikes'!$A$3:$D$108,4,FALSE)</f>
        <v>0</v>
      </c>
      <c r="I103" s="29">
        <f t="shared" si="19"/>
        <v>201231.55880000003</v>
      </c>
      <c r="J103" s="35">
        <f t="shared" si="17"/>
        <v>27998.058800000057</v>
      </c>
      <c r="K103" s="34">
        <f t="shared" si="18"/>
        <v>0.16162034941278713</v>
      </c>
    </row>
    <row r="104" spans="1:20" s="36" customFormat="1" x14ac:dyDescent="0.2">
      <c r="A104" s="127"/>
      <c r="B104" s="145"/>
      <c r="C104" s="37" t="s">
        <v>259</v>
      </c>
      <c r="D104" s="35">
        <v>57783.85</v>
      </c>
      <c r="E104" s="35"/>
      <c r="F104" s="29">
        <f>VLOOKUP(C104,'Kulude ülevaade asutuste lõikes'!$A$4:$B$110,2,FALSE)</f>
        <v>66182.828000000009</v>
      </c>
      <c r="G104" s="29">
        <f>VLOOKUP(C104,'Kulude ülevaade asutuste lõikes'!$A$4:$C$110,3,FALSE)</f>
        <v>0</v>
      </c>
      <c r="H104" s="29">
        <f>VLOOKUP(C104,'Kulude ülevaade asutuste lõikes'!$A$3:$D$108,4,FALSE)</f>
        <v>0</v>
      </c>
      <c r="I104" s="29">
        <f t="shared" si="19"/>
        <v>66182.828000000009</v>
      </c>
      <c r="J104" s="35">
        <f t="shared" si="17"/>
        <v>8398.9780000000101</v>
      </c>
      <c r="K104" s="34">
        <f t="shared" si="18"/>
        <v>0.14535165102359934</v>
      </c>
    </row>
    <row r="105" spans="1:20" s="36" customFormat="1" x14ac:dyDescent="0.2">
      <c r="A105" s="127"/>
      <c r="B105" s="145"/>
      <c r="C105" s="37" t="s">
        <v>908</v>
      </c>
      <c r="D105" s="35">
        <v>127861.31999999999</v>
      </c>
      <c r="E105" s="35"/>
      <c r="F105" s="29">
        <f>VLOOKUP(C105,'Kulude ülevaade asutuste lõikes'!$A$4:$B$110,2,FALSE)</f>
        <v>149796.31999999998</v>
      </c>
      <c r="G105" s="29">
        <f>VLOOKUP(C105,'Kulude ülevaade asutuste lõikes'!$A$4:$C$110,3,FALSE)</f>
        <v>0</v>
      </c>
      <c r="H105" s="29">
        <f>VLOOKUP(C105,'Kulude ülevaade asutuste lõikes'!$A$3:$D$108,4,FALSE)</f>
        <v>0</v>
      </c>
      <c r="I105" s="29">
        <f t="shared" si="19"/>
        <v>149796.31999999998</v>
      </c>
      <c r="J105" s="35">
        <f t="shared" si="17"/>
        <v>21934.999999999985</v>
      </c>
      <c r="K105" s="34">
        <f t="shared" si="18"/>
        <v>0.17155305451249828</v>
      </c>
    </row>
    <row r="106" spans="1:20" s="36" customFormat="1" x14ac:dyDescent="0.2">
      <c r="A106" s="127"/>
      <c r="B106" s="145"/>
      <c r="C106" s="37" t="s">
        <v>288</v>
      </c>
      <c r="D106" s="35">
        <v>226298.75</v>
      </c>
      <c r="E106" s="35"/>
      <c r="F106" s="29">
        <f>VLOOKUP(C106,'Kulude ülevaade asutuste lõikes'!$A$4:$B$110,2,FALSE)</f>
        <v>286702.11400000006</v>
      </c>
      <c r="G106" s="29">
        <f>VLOOKUP(C106,'Kulude ülevaade asutuste lõikes'!$A$4:$C$110,3,FALSE)</f>
        <v>0</v>
      </c>
      <c r="H106" s="29">
        <f>VLOOKUP(C106,'Kulude ülevaade asutuste lõikes'!$A$3:$D$108,4,FALSE)</f>
        <v>0</v>
      </c>
      <c r="I106" s="29">
        <f t="shared" si="19"/>
        <v>286702.11400000006</v>
      </c>
      <c r="J106" s="35">
        <f t="shared" si="17"/>
        <v>60403.36400000006</v>
      </c>
      <c r="K106" s="34">
        <f t="shared" si="18"/>
        <v>0.26691868161004006</v>
      </c>
    </row>
    <row r="107" spans="1:20" s="36" customFormat="1" x14ac:dyDescent="0.2">
      <c r="A107" s="127"/>
      <c r="B107" s="145"/>
      <c r="C107" s="37" t="s">
        <v>277</v>
      </c>
      <c r="D107" s="35">
        <v>116576.14</v>
      </c>
      <c r="E107" s="35"/>
      <c r="F107" s="29">
        <f>VLOOKUP(C107,'Kulude ülevaade asutuste lõikes'!$A$4:$B$110,2,FALSE)</f>
        <v>129044.22200000001</v>
      </c>
      <c r="G107" s="29">
        <f>VLOOKUP(C107,'Kulude ülevaade asutuste lõikes'!$A$4:$C$110,3,FALSE)</f>
        <v>0</v>
      </c>
      <c r="H107" s="29">
        <f>VLOOKUP(C107,'Kulude ülevaade asutuste lõikes'!$A$3:$D$108,4,FALSE)</f>
        <v>0</v>
      </c>
      <c r="I107" s="29">
        <f t="shared" si="19"/>
        <v>129044.22200000001</v>
      </c>
      <c r="J107" s="35">
        <f t="shared" si="17"/>
        <v>12468.082000000009</v>
      </c>
      <c r="K107" s="34">
        <f t="shared" si="18"/>
        <v>0.10695226313034563</v>
      </c>
      <c r="N107" s="2"/>
      <c r="O107" s="2"/>
      <c r="P107" s="2"/>
      <c r="Q107" s="2"/>
      <c r="R107" s="2"/>
      <c r="S107" s="2"/>
      <c r="T107" s="2"/>
    </row>
    <row r="108" spans="1:20" x14ac:dyDescent="0.2">
      <c r="A108" s="127"/>
      <c r="B108" s="145"/>
      <c r="C108" s="8" t="s">
        <v>107</v>
      </c>
      <c r="D108" s="9">
        <v>3235120.43</v>
      </c>
      <c r="E108" s="9"/>
      <c r="F108" s="9">
        <f>VLOOKUP(C108,'Kulud tegevusalade lõikes'!$A$4:$B$49,2,FALSE)</f>
        <v>3499603.4204000002</v>
      </c>
      <c r="G108" s="9">
        <f>VLOOKUP(C108,'Kulud tegevusalade lõikes'!$A$4:$C$49,3,FALSE)</f>
        <v>0</v>
      </c>
      <c r="H108" s="9">
        <f>VLOOKUP(C108,'Kulud tegevusalade lõikes'!$A$4:$D$49,4,FALSE)</f>
        <v>0</v>
      </c>
      <c r="I108" s="9">
        <f t="shared" si="19"/>
        <v>3499603.4204000002</v>
      </c>
      <c r="J108" s="9">
        <f t="shared" si="17"/>
        <v>264482.99040000001</v>
      </c>
      <c r="K108" s="10">
        <f t="shared" si="18"/>
        <v>8.175367691025956E-2</v>
      </c>
      <c r="N108" s="36"/>
      <c r="O108" s="36"/>
      <c r="P108" s="36"/>
      <c r="Q108" s="36"/>
      <c r="R108" s="36"/>
      <c r="S108" s="36"/>
      <c r="T108" s="36"/>
    </row>
    <row r="109" spans="1:20" s="36" customFormat="1" x14ac:dyDescent="0.2">
      <c r="A109" s="127"/>
      <c r="B109" s="145"/>
      <c r="C109" s="37" t="s">
        <v>263</v>
      </c>
      <c r="D109" s="35">
        <v>559775.15999999992</v>
      </c>
      <c r="E109" s="35"/>
      <c r="F109" s="29">
        <f>VLOOKUP(C109,'Kulude ülevaade asutuste lõikes'!$A$4:$B$110,2,FALSE)</f>
        <v>612565.576</v>
      </c>
      <c r="G109" s="29">
        <f>VLOOKUP(C109,'Kulude ülevaade asutuste lõikes'!$A$4:$C$110,3,FALSE)</f>
        <v>0</v>
      </c>
      <c r="H109" s="29">
        <f>VLOOKUP(C109,'Kulude ülevaade asutuste lõikes'!$A$3:$D$108,4,FALSE)</f>
        <v>0</v>
      </c>
      <c r="I109" s="29">
        <f t="shared" si="19"/>
        <v>612565.576</v>
      </c>
      <c r="J109" s="35">
        <f t="shared" si="17"/>
        <v>52790.416000000085</v>
      </c>
      <c r="K109" s="34">
        <f t="shared" si="18"/>
        <v>9.4306464045314356E-2</v>
      </c>
    </row>
    <row r="110" spans="1:20" s="36" customFormat="1" x14ac:dyDescent="0.2">
      <c r="A110" s="127"/>
      <c r="B110" s="145"/>
      <c r="C110" s="37" t="s">
        <v>256</v>
      </c>
      <c r="D110" s="35">
        <v>199483.51</v>
      </c>
      <c r="E110" s="35"/>
      <c r="F110" s="29">
        <f>VLOOKUP(C110,'Kulude ülevaade asutuste lõikes'!$A$4:$B$110,2,FALSE)</f>
        <v>178784.22039999999</v>
      </c>
      <c r="G110" s="29">
        <f>VLOOKUP(C110,'Kulude ülevaade asutuste lõikes'!$A$4:$C$110,3,FALSE)</f>
        <v>0</v>
      </c>
      <c r="H110" s="29">
        <f>VLOOKUP(C110,'Kulude ülevaade asutuste lõikes'!$A$3:$D$108,4,FALSE)</f>
        <v>0</v>
      </c>
      <c r="I110" s="29">
        <f t="shared" si="19"/>
        <v>178784.22039999999</v>
      </c>
      <c r="J110" s="35">
        <f t="shared" si="17"/>
        <v>-20699.289600000018</v>
      </c>
      <c r="K110" s="34">
        <f t="shared" si="18"/>
        <v>-0.10376441441199835</v>
      </c>
    </row>
    <row r="111" spans="1:20" s="36" customFormat="1" x14ac:dyDescent="0.2">
      <c r="A111" s="127"/>
      <c r="B111" s="145"/>
      <c r="C111" s="37" t="s">
        <v>249</v>
      </c>
      <c r="D111" s="35">
        <v>1658619.77</v>
      </c>
      <c r="E111" s="35"/>
      <c r="F111" s="29">
        <f>VLOOKUP(C111,'Kulude ülevaade asutuste lõikes'!$A$4:$B$110,2,FALSE)</f>
        <v>1711779.7299999997</v>
      </c>
      <c r="G111" s="29">
        <f>VLOOKUP(C111,'Kulude ülevaade asutuste lõikes'!$A$4:$C$110,3,FALSE)</f>
        <v>0</v>
      </c>
      <c r="H111" s="29">
        <f>VLOOKUP(C111,'Kulude ülevaade asutuste lõikes'!$A$3:$D$108,4,FALSE)</f>
        <v>0</v>
      </c>
      <c r="I111" s="29">
        <f t="shared" si="19"/>
        <v>1711779.7299999997</v>
      </c>
      <c r="J111" s="35">
        <f t="shared" si="17"/>
        <v>53159.95999999973</v>
      </c>
      <c r="K111" s="34">
        <f t="shared" si="18"/>
        <v>3.2050721305462146E-2</v>
      </c>
    </row>
    <row r="112" spans="1:20" s="36" customFormat="1" x14ac:dyDescent="0.2">
      <c r="A112" s="127"/>
      <c r="B112" s="145"/>
      <c r="C112" s="37" t="s">
        <v>1566</v>
      </c>
      <c r="D112" s="35">
        <v>666224.99</v>
      </c>
      <c r="E112" s="35"/>
      <c r="F112" s="29">
        <f>VLOOKUP(C112,'Kulude ülevaade asutuste lõikes'!$A$4:$B$110,2,FALSE)</f>
        <v>757971.01400000008</v>
      </c>
      <c r="G112" s="29">
        <f>VLOOKUP(C112,'Kulude ülevaade asutuste lõikes'!$A$4:$C$110,3,FALSE)</f>
        <v>0</v>
      </c>
      <c r="H112" s="29">
        <f>VLOOKUP(C112,'Kulude ülevaade asutuste lõikes'!$A$3:$D$108,4,FALSE)</f>
        <v>0</v>
      </c>
      <c r="I112" s="29">
        <f t="shared" si="19"/>
        <v>757971.01400000008</v>
      </c>
      <c r="J112" s="35">
        <f t="shared" si="17"/>
        <v>91746.024000000092</v>
      </c>
      <c r="K112" s="34">
        <f t="shared" si="18"/>
        <v>0.1377102711202714</v>
      </c>
      <c r="N112" s="2"/>
      <c r="O112" s="2"/>
      <c r="P112" s="2"/>
      <c r="Q112" s="2"/>
      <c r="R112" s="2"/>
      <c r="S112" s="2"/>
      <c r="T112" s="2"/>
    </row>
    <row r="113" spans="1:20" x14ac:dyDescent="0.2">
      <c r="A113" s="127"/>
      <c r="B113" s="145"/>
      <c r="C113" s="8" t="s">
        <v>110</v>
      </c>
      <c r="D113" s="9">
        <v>130219</v>
      </c>
      <c r="E113" s="9"/>
      <c r="F113" s="9">
        <f>VLOOKUP(C113,'Kulud tegevusalade lõikes'!$A$4:$B$49,2,FALSE)</f>
        <v>116938.99999999999</v>
      </c>
      <c r="G113" s="9">
        <f>VLOOKUP(C113,'Kulud tegevusalade lõikes'!$A$4:$C$49,3,FALSE)</f>
        <v>0</v>
      </c>
      <c r="H113" s="9">
        <f>VLOOKUP(C113,'Kulud tegevusalade lõikes'!$A$4:$D$49,4,FALSE)</f>
        <v>0</v>
      </c>
      <c r="I113" s="9">
        <f t="shared" si="19"/>
        <v>116938.99999999999</v>
      </c>
      <c r="J113" s="9">
        <f t="shared" si="17"/>
        <v>-13280.000000000015</v>
      </c>
      <c r="K113" s="10">
        <f t="shared" si="18"/>
        <v>-0.10198204563082204</v>
      </c>
      <c r="N113" s="36"/>
      <c r="O113" s="36"/>
      <c r="P113" s="36"/>
      <c r="Q113" s="36"/>
      <c r="R113" s="36"/>
      <c r="S113" s="36"/>
      <c r="T113" s="36"/>
    </row>
    <row r="114" spans="1:20" s="36" customFormat="1" x14ac:dyDescent="0.2">
      <c r="A114" s="127"/>
      <c r="B114" s="145"/>
      <c r="C114" s="65" t="s">
        <v>922</v>
      </c>
      <c r="D114" s="35">
        <v>130219</v>
      </c>
      <c r="E114" s="35"/>
      <c r="F114" s="35">
        <f>VLOOKUP(C114,'Kulude ülevaade asutuste lõikes'!$A$4:$B$110,2,FALSE)</f>
        <v>116938.99999999999</v>
      </c>
      <c r="G114" s="35">
        <f>VLOOKUP(C114,'Kulude ülevaade asutuste lõikes'!$A$4:$C$110,3,FALSE)</f>
        <v>0</v>
      </c>
      <c r="H114" s="29">
        <f>VLOOKUP(C114,'Kulude ülevaade asutuste lõikes'!$A$3:$D$108,4,FALSE)</f>
        <v>0</v>
      </c>
      <c r="I114" s="35">
        <f t="shared" si="19"/>
        <v>116938.99999999999</v>
      </c>
      <c r="J114" s="35">
        <f t="shared" si="17"/>
        <v>-13280.000000000015</v>
      </c>
      <c r="K114" s="97">
        <f t="shared" si="18"/>
        <v>-0.10198204563082204</v>
      </c>
      <c r="N114" s="2"/>
      <c r="O114" s="2"/>
      <c r="P114" s="2"/>
      <c r="Q114" s="2"/>
      <c r="R114" s="2"/>
      <c r="S114" s="2"/>
      <c r="T114" s="2"/>
    </row>
    <row r="115" spans="1:20" x14ac:dyDescent="0.2">
      <c r="A115" s="127"/>
      <c r="B115" s="145"/>
      <c r="C115" s="8" t="s">
        <v>111</v>
      </c>
      <c r="D115" s="9">
        <v>299391.2</v>
      </c>
      <c r="E115" s="9"/>
      <c r="F115" s="9">
        <f>VLOOKUP(C115,'Kulud tegevusalade lõikes'!$A$4:$B$49,2,FALSE)</f>
        <v>300551.76</v>
      </c>
      <c r="G115" s="9">
        <f>VLOOKUP(C115,'Kulud tegevusalade lõikes'!$A$4:$C$49,3,FALSE)</f>
        <v>0</v>
      </c>
      <c r="H115" s="9">
        <f>VLOOKUP(C115,'Kulud tegevusalade lõikes'!$A$4:$D$49,4,FALSE)</f>
        <v>0</v>
      </c>
      <c r="I115" s="9">
        <f t="shared" si="19"/>
        <v>300551.76</v>
      </c>
      <c r="J115" s="9">
        <f t="shared" si="17"/>
        <v>1160.5599999999977</v>
      </c>
      <c r="K115" s="10">
        <f t="shared" si="18"/>
        <v>3.876399840743474E-3</v>
      </c>
    </row>
    <row r="116" spans="1:20" x14ac:dyDescent="0.2">
      <c r="A116" s="127"/>
      <c r="B116" s="145"/>
      <c r="C116" s="8" t="s">
        <v>112</v>
      </c>
      <c r="D116" s="9">
        <v>208744.6</v>
      </c>
      <c r="E116" s="9"/>
      <c r="F116" s="9">
        <f>VLOOKUP(C116,'Kulud tegevusalade lõikes'!$A$4:$B$49,2,FALSE)</f>
        <v>209950.2</v>
      </c>
      <c r="G116" s="9">
        <f>VLOOKUP(C116,'Kulud tegevusalade lõikes'!$A$4:$C$49,3,FALSE)</f>
        <v>0</v>
      </c>
      <c r="H116" s="9">
        <f>VLOOKUP(C116,'Kulud tegevusalade lõikes'!$A$4:$D$49,4,FALSE)</f>
        <v>0</v>
      </c>
      <c r="I116" s="9">
        <f t="shared" si="19"/>
        <v>209950.2</v>
      </c>
      <c r="J116" s="9">
        <f t="shared" si="17"/>
        <v>1205.6000000000058</v>
      </c>
      <c r="K116" s="10">
        <f t="shared" si="18"/>
        <v>5.7754787429231983E-3</v>
      </c>
      <c r="M116" s="35"/>
    </row>
    <row r="117" spans="1:20" x14ac:dyDescent="0.2">
      <c r="A117" s="127"/>
      <c r="B117" s="145"/>
      <c r="C117" s="8" t="s">
        <v>113</v>
      </c>
      <c r="D117" s="9">
        <v>40756.120000000003</v>
      </c>
      <c r="E117" s="9"/>
      <c r="F117" s="9">
        <f>VLOOKUP(C117,'Kulud tegevusalade lõikes'!$A$4:$B$49,2,FALSE)</f>
        <v>46754.080000000009</v>
      </c>
      <c r="G117" s="9">
        <f>VLOOKUP(C117,'Kulud tegevusalade lõikes'!$A$4:$C$49,3,FALSE)</f>
        <v>0</v>
      </c>
      <c r="H117" s="9">
        <f>VLOOKUP(C117,'Kulud tegevusalade lõikes'!$A$4:$D$49,4,FALSE)</f>
        <v>0</v>
      </c>
      <c r="I117" s="9">
        <f t="shared" si="19"/>
        <v>46754.080000000009</v>
      </c>
      <c r="J117" s="9">
        <f t="shared" si="17"/>
        <v>5997.9600000000064</v>
      </c>
      <c r="K117" s="10">
        <f t="shared" si="18"/>
        <v>0.14716710030297306</v>
      </c>
      <c r="N117" s="36"/>
      <c r="O117" s="36"/>
      <c r="P117" s="36"/>
      <c r="Q117" s="36"/>
      <c r="R117" s="36"/>
      <c r="S117" s="36"/>
      <c r="T117" s="36"/>
    </row>
    <row r="118" spans="1:20" s="36" customFormat="1" x14ac:dyDescent="0.2">
      <c r="A118" s="127"/>
      <c r="B118" s="145"/>
      <c r="C118" s="37" t="s">
        <v>261</v>
      </c>
      <c r="D118" s="33">
        <v>40756.120000000003</v>
      </c>
      <c r="E118" s="33"/>
      <c r="F118" s="29">
        <f>VLOOKUP(C118,'Kulude ülevaade asutuste lõikes'!$A$4:$B$110,2,FALSE)</f>
        <v>46754.080000000009</v>
      </c>
      <c r="G118" s="29">
        <f>VLOOKUP(C118,'Kulude ülevaade asutuste lõikes'!$A$4:$C$110,3,FALSE)</f>
        <v>0</v>
      </c>
      <c r="H118" s="29">
        <f>VLOOKUP(C118,'Kulude ülevaade asutuste lõikes'!$A$3:$D$108,4,FALSE)</f>
        <v>0</v>
      </c>
      <c r="I118" s="29">
        <f t="shared" si="19"/>
        <v>46754.080000000009</v>
      </c>
      <c r="J118" s="33">
        <f t="shared" si="17"/>
        <v>5997.9600000000064</v>
      </c>
      <c r="K118" s="34">
        <f t="shared" si="18"/>
        <v>0.14716710030297306</v>
      </c>
      <c r="N118" s="2"/>
      <c r="O118" s="2"/>
      <c r="P118" s="2"/>
      <c r="Q118" s="2"/>
      <c r="R118" s="2"/>
      <c r="S118" s="2"/>
      <c r="T118" s="2"/>
    </row>
    <row r="119" spans="1:20" x14ac:dyDescent="0.2">
      <c r="A119" s="127"/>
      <c r="B119" s="145"/>
      <c r="C119" s="8" t="s">
        <v>114</v>
      </c>
      <c r="D119" s="9">
        <v>319531.79499999998</v>
      </c>
      <c r="E119" s="9"/>
      <c r="F119" s="9">
        <f>VLOOKUP(C119,'Kulud tegevusalade lõikes'!$A$4:$B$49,2,FALSE)</f>
        <v>320192.28000000003</v>
      </c>
      <c r="G119" s="9">
        <f>VLOOKUP(C119,'Kulud tegevusalade lõikes'!$A$4:$C$49,3,FALSE)</f>
        <v>0</v>
      </c>
      <c r="H119" s="9">
        <f>VLOOKUP(C119,'Kulud tegevusalade lõikes'!$A$4:$D$49,4,FALSE)</f>
        <v>0</v>
      </c>
      <c r="I119" s="9">
        <f t="shared" si="19"/>
        <v>320192.28000000003</v>
      </c>
      <c r="J119" s="9">
        <f t="shared" si="17"/>
        <v>660.48500000004424</v>
      </c>
      <c r="K119" s="10">
        <f t="shared" si="18"/>
        <v>2.0670399951906015E-3</v>
      </c>
    </row>
    <row r="120" spans="1:20" x14ac:dyDescent="0.2">
      <c r="A120" s="127"/>
      <c r="B120" s="141"/>
      <c r="C120" s="18" t="s">
        <v>115</v>
      </c>
      <c r="D120" s="19">
        <f>D100+D108+D113+D115+D116+D117+D119</f>
        <v>5821371.8196666669</v>
      </c>
      <c r="E120" s="19">
        <f>E100+E108+E113+E115+E116+E117+E119</f>
        <v>0</v>
      </c>
      <c r="F120" s="19">
        <f>F100+F108+F113+F115+F116+F117+F119</f>
        <v>6326957.7916000001</v>
      </c>
      <c r="G120" s="19">
        <f>G100+G108+G113+G115+G116+G117+G119</f>
        <v>0</v>
      </c>
      <c r="H120" s="19">
        <f>H100+H108+H113+H115+H116+H117+H119</f>
        <v>0</v>
      </c>
      <c r="I120" s="19">
        <f>SUM(F120:H120)</f>
        <v>6326957.7916000001</v>
      </c>
      <c r="J120" s="19">
        <f t="shared" si="17"/>
        <v>505585.9719333332</v>
      </c>
      <c r="K120" s="20">
        <f t="shared" si="18"/>
        <v>8.6849970693382572E-2</v>
      </c>
    </row>
    <row r="121" spans="1:20" x14ac:dyDescent="0.2">
      <c r="A121" s="127"/>
      <c r="B121" s="140" t="s">
        <v>91</v>
      </c>
      <c r="C121" s="38" t="s">
        <v>116</v>
      </c>
      <c r="D121" s="15">
        <v>8300</v>
      </c>
      <c r="E121" s="15"/>
      <c r="F121" s="9">
        <f>VLOOKUP(C121,'Kulud tegevusalade lõikes'!$A$4:$B$49,2,FALSE)</f>
        <v>8300</v>
      </c>
      <c r="G121" s="9">
        <f>VLOOKUP(C121,'Kulud tegevusalade lõikes'!$A$4:$C$49,3,FALSE)</f>
        <v>0</v>
      </c>
      <c r="H121" s="9">
        <f>VLOOKUP(C121,'Kulud tegevusalade lõikes'!$A$4:$D$49,4,FALSE)</f>
        <v>0</v>
      </c>
      <c r="I121" s="9">
        <f t="shared" ref="I121:I137" si="20">SUM(F121:H121)</f>
        <v>8300</v>
      </c>
      <c r="J121" s="9">
        <f t="shared" si="17"/>
        <v>0</v>
      </c>
      <c r="K121" s="10">
        <v>1</v>
      </c>
    </row>
    <row r="122" spans="1:20" x14ac:dyDescent="0.2">
      <c r="A122" s="127"/>
      <c r="B122" s="145"/>
      <c r="C122" s="38" t="s">
        <v>117</v>
      </c>
      <c r="D122" s="15">
        <v>24200</v>
      </c>
      <c r="E122" s="15"/>
      <c r="F122" s="15">
        <f>VLOOKUP(C122,'Kulud tegevusalade lõikes'!$A$4:$B$49,2,FALSE)</f>
        <v>14100</v>
      </c>
      <c r="G122" s="15">
        <f>VLOOKUP(C122,'Kulud tegevusalade lõikes'!$A$4:$C$49,3,FALSE)</f>
        <v>0</v>
      </c>
      <c r="H122" s="9">
        <f>VLOOKUP(C122,'Kulud tegevusalade lõikes'!$A$4:$D$49,4,FALSE)</f>
        <v>0</v>
      </c>
      <c r="I122" s="15">
        <f t="shared" si="20"/>
        <v>14100</v>
      </c>
      <c r="J122" s="15">
        <f t="shared" si="17"/>
        <v>-10100</v>
      </c>
      <c r="K122" s="10">
        <v>1</v>
      </c>
    </row>
    <row r="123" spans="1:20" x14ac:dyDescent="0.2">
      <c r="A123" s="127"/>
      <c r="B123" s="145"/>
      <c r="C123" s="8" t="s">
        <v>118</v>
      </c>
      <c r="D123" s="15">
        <v>413034.7</v>
      </c>
      <c r="E123" s="15"/>
      <c r="F123" s="15">
        <f>VLOOKUP(C123,'Kulud tegevusalade lõikes'!$A$4:$B$49,2,FALSE)</f>
        <v>370796.79999999999</v>
      </c>
      <c r="G123" s="15">
        <f>VLOOKUP(C123,'Kulud tegevusalade lõikes'!$A$4:$C$49,3,FALSE)</f>
        <v>0</v>
      </c>
      <c r="H123" s="9">
        <f>VLOOKUP(C123,'Kulud tegevusalade lõikes'!$A$4:$D$49,4,FALSE)</f>
        <v>0</v>
      </c>
      <c r="I123" s="15">
        <f t="shared" si="20"/>
        <v>370796.79999999999</v>
      </c>
      <c r="J123" s="15">
        <f t="shared" si="17"/>
        <v>-42237.900000000023</v>
      </c>
      <c r="K123" s="10">
        <f t="shared" si="18"/>
        <v>-0.10226235229146612</v>
      </c>
    </row>
    <row r="124" spans="1:20" x14ac:dyDescent="0.2">
      <c r="A124" s="127"/>
      <c r="B124" s="145"/>
      <c r="C124" s="8" t="s">
        <v>119</v>
      </c>
      <c r="D124" s="15">
        <v>1433527.98</v>
      </c>
      <c r="E124" s="15"/>
      <c r="F124" s="15">
        <f>VLOOKUP(C124,'Kulud tegevusalade lõikes'!$A$4:$B$49,2,FALSE)</f>
        <v>572490.07000000007</v>
      </c>
      <c r="G124" s="9">
        <f>VLOOKUP(C124,'Kulud tegevusalade lõikes'!$A$4:$C$49,3,FALSE)</f>
        <v>0</v>
      </c>
      <c r="H124" s="9">
        <f>VLOOKUP(C124,'Kulud tegevusalade lõikes'!$A$4:$D$49,4,FALSE)</f>
        <v>0</v>
      </c>
      <c r="I124" s="15">
        <f t="shared" si="20"/>
        <v>572490.07000000007</v>
      </c>
      <c r="J124" s="15">
        <f t="shared" si="17"/>
        <v>-861037.90999999992</v>
      </c>
      <c r="K124" s="10">
        <f t="shared" si="18"/>
        <v>-0.60064255599670957</v>
      </c>
      <c r="N124" s="36"/>
      <c r="O124" s="36"/>
      <c r="P124" s="36"/>
      <c r="Q124" s="36"/>
      <c r="R124" s="36"/>
      <c r="S124" s="36"/>
      <c r="T124" s="36"/>
    </row>
    <row r="125" spans="1:20" s="36" customFormat="1" x14ac:dyDescent="0.2">
      <c r="A125" s="127"/>
      <c r="B125" s="145"/>
      <c r="C125" s="87" t="s">
        <v>165</v>
      </c>
      <c r="D125" s="84">
        <v>175722.39</v>
      </c>
      <c r="E125" s="84"/>
      <c r="F125" s="85">
        <f>VLOOKUP(C125,'Kulude ülevaade asutuste lõikes'!$A$4:$B$110,2,FALSE)</f>
        <v>167425.85</v>
      </c>
      <c r="G125" s="85">
        <f>VLOOKUP(C125,'Kulude ülevaade asutuste lõikes'!$A$4:$C$110,3,FALSE)</f>
        <v>0</v>
      </c>
      <c r="H125" s="85">
        <f>VLOOKUP(C125,'Kulude ülevaade asutuste lõikes'!$A$3:$D$108,4,FALSE)</f>
        <v>0</v>
      </c>
      <c r="I125" s="85">
        <f t="shared" si="20"/>
        <v>167425.85</v>
      </c>
      <c r="J125" s="84">
        <f t="shared" si="17"/>
        <v>-8296.5400000000081</v>
      </c>
      <c r="K125" s="86">
        <f t="shared" si="18"/>
        <v>-4.7213903703449557E-2</v>
      </c>
      <c r="L125" s="146" t="s">
        <v>1564</v>
      </c>
    </row>
    <row r="126" spans="1:20" s="36" customFormat="1" x14ac:dyDescent="0.2">
      <c r="A126" s="127"/>
      <c r="B126" s="145"/>
      <c r="C126" s="87" t="s">
        <v>145</v>
      </c>
      <c r="D126" s="84">
        <v>1129124.8899999999</v>
      </c>
      <c r="E126" s="84"/>
      <c r="F126" s="85">
        <f>VLOOKUP(C126,'Kulude ülevaade asutuste lõikes'!$A$4:$B$110,2,FALSE)</f>
        <v>270809.59999999998</v>
      </c>
      <c r="G126" s="85">
        <f>VLOOKUP(C126,'Kulude ülevaade asutuste lõikes'!$A$4:$C$110,3,FALSE)</f>
        <v>0</v>
      </c>
      <c r="H126" s="85">
        <f>VLOOKUP(C126,'Kulude ülevaade asutuste lõikes'!$A$3:$D$108,4,FALSE)</f>
        <v>0</v>
      </c>
      <c r="I126" s="85">
        <f t="shared" si="20"/>
        <v>270809.59999999998</v>
      </c>
      <c r="J126" s="84">
        <f t="shared" si="17"/>
        <v>-858315.28999999992</v>
      </c>
      <c r="K126" s="86">
        <f t="shared" si="18"/>
        <v>-0.76015974636782646</v>
      </c>
      <c r="L126" s="146"/>
    </row>
    <row r="127" spans="1:20" s="36" customFormat="1" x14ac:dyDescent="0.2">
      <c r="A127" s="127"/>
      <c r="B127" s="145"/>
      <c r="C127" s="37" t="s">
        <v>951</v>
      </c>
      <c r="D127" s="33">
        <v>14680.7</v>
      </c>
      <c r="E127" s="35"/>
      <c r="F127" s="29">
        <f>VLOOKUP(C127,'Kulude ülevaade asutuste lõikes'!$A$4:$B$110,2,FALSE)</f>
        <v>14254.619999999999</v>
      </c>
      <c r="G127" s="29">
        <f>VLOOKUP(C127,'Kulude ülevaade asutuste lõikes'!$A$4:$C$110,3,FALSE)</f>
        <v>0</v>
      </c>
      <c r="H127" s="29">
        <f>VLOOKUP(C127,'Kulude ülevaade asutuste lõikes'!$A$3:$D$108,4,FALSE)</f>
        <v>0</v>
      </c>
      <c r="I127" s="29">
        <f t="shared" si="20"/>
        <v>14254.619999999999</v>
      </c>
      <c r="J127" s="33">
        <f t="shared" si="17"/>
        <v>-426.08000000000175</v>
      </c>
      <c r="K127" s="34">
        <f t="shared" si="18"/>
        <v>-2.9023139223606623E-2</v>
      </c>
      <c r="N127" s="2"/>
      <c r="O127" s="2"/>
      <c r="P127" s="2"/>
      <c r="Q127" s="2"/>
      <c r="R127" s="2"/>
      <c r="S127" s="2"/>
      <c r="T127" s="2"/>
    </row>
    <row r="128" spans="1:20" x14ac:dyDescent="0.2">
      <c r="A128" s="127"/>
      <c r="B128" s="145"/>
      <c r="C128" s="38" t="s">
        <v>120</v>
      </c>
      <c r="D128" s="15">
        <v>70487.42</v>
      </c>
      <c r="E128" s="15"/>
      <c r="F128" s="15">
        <f>VLOOKUP(C128,'Kulud tegevusalade lõikes'!$A$4:$B$49,2,FALSE)</f>
        <v>74051.040000000008</v>
      </c>
      <c r="G128" s="9">
        <f>VLOOKUP(C128,'Kulud tegevusalade lõikes'!$A$4:$C$49,3,FALSE)</f>
        <v>0</v>
      </c>
      <c r="H128" s="9">
        <f>VLOOKUP(C128,'Kulud tegevusalade lõikes'!$A$4:$D$49,4,FALSE)</f>
        <v>0</v>
      </c>
      <c r="I128" s="15">
        <f t="shared" si="20"/>
        <v>74051.040000000008</v>
      </c>
      <c r="J128" s="15">
        <f t="shared" si="17"/>
        <v>3563.6200000000099</v>
      </c>
      <c r="K128" s="10">
        <f t="shared" si="18"/>
        <v>5.0556822763551425E-2</v>
      </c>
    </row>
    <row r="129" spans="1:20" x14ac:dyDescent="0.2">
      <c r="A129" s="127"/>
      <c r="B129" s="145"/>
      <c r="C129" s="8" t="s">
        <v>121</v>
      </c>
      <c r="D129" s="15">
        <v>992911.57</v>
      </c>
      <c r="E129" s="15"/>
      <c r="F129" s="15">
        <f>VLOOKUP(C129,'Kulud tegevusalade lõikes'!$A$4:$B$49,2,FALSE)</f>
        <v>1005653.28</v>
      </c>
      <c r="G129" s="9">
        <f>VLOOKUP(C129,'Kulud tegevusalade lõikes'!$A$4:$C$49,3,FALSE)</f>
        <v>0</v>
      </c>
      <c r="H129" s="9">
        <f>VLOOKUP(C129,'Kulud tegevusalade lõikes'!$A$4:$D$49,4,FALSE)</f>
        <v>0</v>
      </c>
      <c r="I129" s="15">
        <f t="shared" si="20"/>
        <v>1005653.28</v>
      </c>
      <c r="J129" s="15">
        <f t="shared" si="17"/>
        <v>12741.710000000079</v>
      </c>
      <c r="K129" s="10">
        <f t="shared" si="18"/>
        <v>1.2832673507873496E-2</v>
      </c>
      <c r="N129" s="36"/>
      <c r="O129" s="36"/>
      <c r="P129" s="36"/>
      <c r="Q129" s="36"/>
      <c r="R129" s="36"/>
      <c r="S129" s="36"/>
      <c r="T129" s="36"/>
    </row>
    <row r="130" spans="1:20" s="36" customFormat="1" x14ac:dyDescent="0.2">
      <c r="A130" s="127"/>
      <c r="B130" s="145"/>
      <c r="C130" s="37" t="s">
        <v>458</v>
      </c>
      <c r="D130" s="33">
        <v>788009.44</v>
      </c>
      <c r="E130" s="35"/>
      <c r="F130" s="29">
        <f>VLOOKUP(C130,'Kulude ülevaade asutuste lõikes'!$A$4:$B$110,2,FALSE)</f>
        <v>837984</v>
      </c>
      <c r="G130" s="29">
        <f>VLOOKUP(C130,'Kulude ülevaade asutuste lõikes'!$A$4:$C$110,3,FALSE)</f>
        <v>0</v>
      </c>
      <c r="H130" s="29">
        <f>VLOOKUP(C130,'Kulude ülevaade asutuste lõikes'!$A$3:$D$108,4,FALSE)</f>
        <v>0</v>
      </c>
      <c r="I130" s="29">
        <f t="shared" si="20"/>
        <v>837984</v>
      </c>
      <c r="J130" s="33">
        <f t="shared" si="17"/>
        <v>49974.560000000056</v>
      </c>
      <c r="K130" s="34">
        <f t="shared" si="18"/>
        <v>6.3418732648685097E-2</v>
      </c>
      <c r="N130" s="2"/>
      <c r="O130" s="2"/>
      <c r="P130" s="2"/>
      <c r="Q130" s="2"/>
      <c r="R130" s="2"/>
      <c r="S130" s="2"/>
      <c r="T130" s="2"/>
    </row>
    <row r="131" spans="1:20" x14ac:dyDescent="0.2">
      <c r="A131" s="127"/>
      <c r="B131" s="145"/>
      <c r="C131" s="8" t="s">
        <v>122</v>
      </c>
      <c r="D131" s="15">
        <v>138038.16</v>
      </c>
      <c r="E131" s="15"/>
      <c r="F131" s="15">
        <f>VLOOKUP(C131,'Kulud tegevusalade lõikes'!$A$4:$B$49,2,FALSE)</f>
        <v>128378.16</v>
      </c>
      <c r="G131" s="15">
        <f>VLOOKUP(C131,'Kulud tegevusalade lõikes'!$A$4:$C$49,3,FALSE)</f>
        <v>0</v>
      </c>
      <c r="H131" s="9">
        <f>VLOOKUP(C131,'Kulud tegevusalade lõikes'!$A$4:$D$49,4,FALSE)</f>
        <v>0</v>
      </c>
      <c r="I131" s="15">
        <f t="shared" si="20"/>
        <v>128378.16</v>
      </c>
      <c r="J131" s="15">
        <f t="shared" si="17"/>
        <v>-9660</v>
      </c>
      <c r="K131" s="10">
        <f t="shared" si="18"/>
        <v>-6.9980648829280248E-2</v>
      </c>
    </row>
    <row r="132" spans="1:20" x14ac:dyDescent="0.2">
      <c r="A132" s="127"/>
      <c r="B132" s="145"/>
      <c r="C132" s="8" t="s">
        <v>123</v>
      </c>
      <c r="D132" s="9">
        <v>3600</v>
      </c>
      <c r="E132" s="9"/>
      <c r="F132" s="9">
        <f>VLOOKUP(C132,'Kulud tegevusalade lõikes'!$A$4:$B$49,2,FALSE)</f>
        <v>3000</v>
      </c>
      <c r="G132" s="9">
        <f>VLOOKUP(C132,'Kulud tegevusalade lõikes'!$A$4:$C$49,3,FALSE)</f>
        <v>0</v>
      </c>
      <c r="H132" s="9">
        <f>VLOOKUP(C132,'Kulud tegevusalade lõikes'!$A$4:$D$49,4,FALSE)</f>
        <v>0</v>
      </c>
      <c r="I132" s="9">
        <f t="shared" si="20"/>
        <v>3000</v>
      </c>
      <c r="J132" s="9">
        <f t="shared" si="17"/>
        <v>-600</v>
      </c>
      <c r="K132" s="10">
        <f t="shared" si="18"/>
        <v>-0.16666666666666666</v>
      </c>
    </row>
    <row r="133" spans="1:20" x14ac:dyDescent="0.2">
      <c r="A133" s="127"/>
      <c r="B133" s="145"/>
      <c r="C133" s="8" t="s">
        <v>124</v>
      </c>
      <c r="D133" s="15">
        <v>27000</v>
      </c>
      <c r="E133" s="15"/>
      <c r="F133" s="15">
        <f>VLOOKUP(C133,'Kulud tegevusalade lõikes'!$A$4:$B$49,2,FALSE)</f>
        <v>31000</v>
      </c>
      <c r="G133" s="15">
        <f>VLOOKUP(C133,'Kulud tegevusalade lõikes'!$A$4:$C$49,3,FALSE)</f>
        <v>0</v>
      </c>
      <c r="H133" s="9">
        <f>VLOOKUP(C133,'Kulud tegevusalade lõikes'!$A$4:$D$49,4,FALSE)</f>
        <v>0</v>
      </c>
      <c r="I133" s="15">
        <f t="shared" si="20"/>
        <v>31000</v>
      </c>
      <c r="J133" s="15">
        <f t="shared" si="17"/>
        <v>4000</v>
      </c>
      <c r="K133" s="10">
        <f t="shared" si="18"/>
        <v>0.14814814814814814</v>
      </c>
    </row>
    <row r="134" spans="1:20" x14ac:dyDescent="0.2">
      <c r="A134" s="127"/>
      <c r="B134" s="145"/>
      <c r="C134" s="40" t="s">
        <v>371</v>
      </c>
      <c r="D134" s="15">
        <v>2000</v>
      </c>
      <c r="E134" s="15"/>
      <c r="F134" s="15">
        <f>VLOOKUP(C134,'Kulud tegevusalade lõikes'!$A$4:$B$49,2,FALSE)</f>
        <v>700</v>
      </c>
      <c r="G134" s="15">
        <f>VLOOKUP(C134,'Kulud tegevusalade lõikes'!$A$4:$C$49,3,FALSE)</f>
        <v>0</v>
      </c>
      <c r="H134" s="9">
        <f>VLOOKUP(C134,'Kulud tegevusalade lõikes'!$A$4:$D$49,4,FALSE)</f>
        <v>0</v>
      </c>
      <c r="I134" s="15">
        <f t="shared" si="20"/>
        <v>700</v>
      </c>
      <c r="J134" s="15">
        <f t="shared" si="17"/>
        <v>-1300</v>
      </c>
      <c r="K134" s="10">
        <v>1</v>
      </c>
    </row>
    <row r="135" spans="1:20" x14ac:dyDescent="0.2">
      <c r="A135" s="127"/>
      <c r="B135" s="145"/>
      <c r="C135" s="8" t="s">
        <v>125</v>
      </c>
      <c r="D135" s="9">
        <v>91442.81</v>
      </c>
      <c r="E135" s="9"/>
      <c r="F135" s="9">
        <f>VLOOKUP(C135,'Kulud tegevusalade lõikes'!$A$4:$B$49,2,FALSE)</f>
        <v>83207</v>
      </c>
      <c r="G135" s="9">
        <f>VLOOKUP(C135,'Kulud tegevusalade lõikes'!$A$4:$C$49,3,FALSE)</f>
        <v>0</v>
      </c>
      <c r="H135" s="9">
        <f>VLOOKUP(C135,'Kulud tegevusalade lõikes'!$A$4:$D$49,4,FALSE)</f>
        <v>0</v>
      </c>
      <c r="I135" s="9">
        <f t="shared" si="20"/>
        <v>83207</v>
      </c>
      <c r="J135" s="9">
        <f t="shared" si="17"/>
        <v>-8235.8099999999977</v>
      </c>
      <c r="K135" s="10">
        <f t="shared" si="18"/>
        <v>-9.0065145635835092E-2</v>
      </c>
    </row>
    <row r="136" spans="1:20" x14ac:dyDescent="0.2">
      <c r="A136" s="127"/>
      <c r="B136" s="145"/>
      <c r="C136" s="8" t="s">
        <v>126</v>
      </c>
      <c r="D136" s="15">
        <v>83240</v>
      </c>
      <c r="E136" s="15"/>
      <c r="F136" s="15">
        <f>VLOOKUP(C136,'Kulud tegevusalade lõikes'!$A$4:$B$49,2,FALSE)</f>
        <v>23740</v>
      </c>
      <c r="G136" s="15">
        <f>VLOOKUP(C136,'Kulud tegevusalade lõikes'!$A$4:$C$49,3,FALSE)</f>
        <v>0</v>
      </c>
      <c r="H136" s="9">
        <f>VLOOKUP(C136,'Kulud tegevusalade lõikes'!$A$4:$D$49,4,FALSE)</f>
        <v>0</v>
      </c>
      <c r="I136" s="15">
        <f t="shared" si="20"/>
        <v>23740</v>
      </c>
      <c r="J136" s="15">
        <f t="shared" si="17"/>
        <v>-59500</v>
      </c>
      <c r="K136" s="10">
        <f t="shared" si="18"/>
        <v>-0.7148005766458434</v>
      </c>
    </row>
    <row r="137" spans="1:20" x14ac:dyDescent="0.2">
      <c r="A137" s="127"/>
      <c r="B137" s="145"/>
      <c r="C137" s="8" t="s">
        <v>127</v>
      </c>
      <c r="D137" s="15">
        <v>149235.37</v>
      </c>
      <c r="E137" s="15"/>
      <c r="F137" s="15">
        <f>VLOOKUP(C137,'Kulud tegevusalade lõikes'!$A$4:$B$49,2,FALSE)</f>
        <v>168096.96000000002</v>
      </c>
      <c r="G137" s="9">
        <f>VLOOKUP(C137,'Kulud tegevusalade lõikes'!$A$4:$C$49,3,FALSE)</f>
        <v>0</v>
      </c>
      <c r="H137" s="9">
        <f>VLOOKUP(C137,'Kulud tegevusalade lõikes'!$A$4:$D$49,4,FALSE)</f>
        <v>0</v>
      </c>
      <c r="I137" s="15">
        <f t="shared" si="20"/>
        <v>168096.96000000002</v>
      </c>
      <c r="J137" s="15">
        <f t="shared" si="17"/>
        <v>18861.590000000026</v>
      </c>
      <c r="K137" s="10">
        <f t="shared" si="18"/>
        <v>0.12638820140292498</v>
      </c>
    </row>
    <row r="138" spans="1:20" x14ac:dyDescent="0.2">
      <c r="A138" s="127"/>
      <c r="B138" s="141"/>
      <c r="C138" s="18" t="s">
        <v>128</v>
      </c>
      <c r="D138" s="19">
        <f>SUM(D121:D124)+D128+D129+SUM(D131:D137)</f>
        <v>3437018.01</v>
      </c>
      <c r="E138" s="19">
        <f>SUM(E121:E124)+E128+E129+SUM(E131:E137)</f>
        <v>0</v>
      </c>
      <c r="F138" s="19">
        <f>SUM(F121:F124)+F128+F129+SUM(F131:F137)</f>
        <v>2483513.31</v>
      </c>
      <c r="G138" s="19">
        <f>SUM(G121:G124)+G128+G129+SUM(G131:G137)</f>
        <v>0</v>
      </c>
      <c r="H138" s="19">
        <f>SUM(H121:H124)+H128+H129+SUM(H131:H137)</f>
        <v>0</v>
      </c>
      <c r="I138" s="19">
        <f>SUM(F138:H138)</f>
        <v>2483513.31</v>
      </c>
      <c r="J138" s="19">
        <f t="shared" si="17"/>
        <v>-953504.69999999972</v>
      </c>
      <c r="K138" s="20">
        <f t="shared" si="18"/>
        <v>-0.27742208426775156</v>
      </c>
    </row>
    <row r="139" spans="1:20" x14ac:dyDescent="0.2">
      <c r="A139" s="127"/>
      <c r="B139" s="18" t="s">
        <v>129</v>
      </c>
      <c r="C139" s="18"/>
      <c r="D139" s="21">
        <f>D138+D120+D99+D72+D70+D60+D57+D53+D50+D49</f>
        <v>15214634.783416668</v>
      </c>
      <c r="E139" s="21">
        <f>E138+E120+E99+E72+E70+E60+E57+E53+E50+E49</f>
        <v>0</v>
      </c>
      <c r="F139" s="21">
        <f>F138+F120+F99+F72+F70+F60+F57+F53+F50+F49</f>
        <v>14763760.852987999</v>
      </c>
      <c r="G139" s="21">
        <f>G138+G120+G99+G72+G70+G60+G57+G53+G50+G49</f>
        <v>0</v>
      </c>
      <c r="H139" s="21">
        <f>H138+H120+H99+H72+H70+H60+H57+H53+H50+H49</f>
        <v>0</v>
      </c>
      <c r="I139" s="21">
        <f>SUM(F139:H139)</f>
        <v>14763760.852987999</v>
      </c>
      <c r="J139" s="21">
        <f>F139-D139</f>
        <v>-450873.93042866886</v>
      </c>
      <c r="K139" s="22">
        <f t="shared" si="18"/>
        <v>-2.963422631216249E-2</v>
      </c>
    </row>
    <row r="140" spans="1:20" x14ac:dyDescent="0.2">
      <c r="A140" s="127" t="s">
        <v>130</v>
      </c>
      <c r="B140" s="127" t="s">
        <v>131</v>
      </c>
      <c r="C140" s="8" t="s">
        <v>132</v>
      </c>
      <c r="D140" s="9">
        <v>4094855.65</v>
      </c>
      <c r="E140" s="9"/>
      <c r="F140" s="9">
        <f>D142</f>
        <v>5636464.9299999997</v>
      </c>
      <c r="G140" s="9"/>
      <c r="H140" s="9"/>
      <c r="I140" s="9">
        <f>SUM(F140:G140)</f>
        <v>5636464.9299999997</v>
      </c>
      <c r="J140" s="9"/>
      <c r="K140" s="10"/>
    </row>
    <row r="141" spans="1:20" x14ac:dyDescent="0.2">
      <c r="A141" s="127"/>
      <c r="B141" s="127"/>
      <c r="C141" s="8" t="s">
        <v>133</v>
      </c>
      <c r="D141" s="9">
        <v>1961957.8</v>
      </c>
      <c r="E141" s="9"/>
      <c r="F141" s="9">
        <f>D143</f>
        <v>1210954.3665833292</v>
      </c>
      <c r="G141" s="9"/>
      <c r="H141" s="9"/>
      <c r="I141" s="9">
        <f>F141</f>
        <v>1210954.3665833292</v>
      </c>
      <c r="J141" s="9"/>
      <c r="K141" s="10"/>
    </row>
    <row r="142" spans="1:20" x14ac:dyDescent="0.2">
      <c r="A142" s="127"/>
      <c r="B142" s="127" t="s">
        <v>134</v>
      </c>
      <c r="C142" s="8" t="s">
        <v>132</v>
      </c>
      <c r="D142" s="9">
        <f t="shared" ref="D142:F143" si="21">D140+D40</f>
        <v>5636464.9299999997</v>
      </c>
      <c r="E142" s="15">
        <f t="shared" si="21"/>
        <v>0</v>
      </c>
      <c r="F142" s="15">
        <f t="shared" si="21"/>
        <v>6562629.5499999998</v>
      </c>
      <c r="G142" s="15"/>
      <c r="H142" s="15"/>
      <c r="I142" s="15">
        <f>I140+I40</f>
        <v>6562629.5499999998</v>
      </c>
      <c r="J142" s="9"/>
      <c r="K142" s="10"/>
    </row>
    <row r="143" spans="1:20" x14ac:dyDescent="0.2">
      <c r="A143" s="127"/>
      <c r="B143" s="127"/>
      <c r="C143" s="8" t="s">
        <v>133</v>
      </c>
      <c r="D143" s="9">
        <f>D141+D41</f>
        <v>1210954.3665833292</v>
      </c>
      <c r="E143" s="15">
        <f t="shared" si="21"/>
        <v>0</v>
      </c>
      <c r="F143" s="15">
        <f t="shared" si="21"/>
        <v>180164.53119532368</v>
      </c>
      <c r="G143" s="15"/>
      <c r="H143" s="15"/>
      <c r="I143" s="15">
        <f>I141+I41</f>
        <v>180164.53119532368</v>
      </c>
      <c r="J143" s="9"/>
      <c r="K143" s="10"/>
    </row>
    <row r="145" spans="3:9" x14ac:dyDescent="0.2">
      <c r="F145" s="2" t="s">
        <v>135</v>
      </c>
    </row>
    <row r="146" spans="3:9" x14ac:dyDescent="0.2">
      <c r="D146" s="39">
        <f>IF(D142-D143&lt;0,0,D142-D143)/D18</f>
        <v>0.38220117608610349</v>
      </c>
      <c r="F146" s="39">
        <f>IF(F142-F143&lt;0,0,F142-F143)/F18</f>
        <v>0.53920840174668294</v>
      </c>
      <c r="G146" s="39"/>
      <c r="H146" s="39"/>
      <c r="I146" s="39">
        <f>IF(I142-I143&lt;0,0,I142-I143)/I18</f>
        <v>0.53920840174668294</v>
      </c>
    </row>
    <row r="148" spans="3:9" x14ac:dyDescent="0.2">
      <c r="C148" s="77" t="s">
        <v>979</v>
      </c>
      <c r="D148" s="78">
        <f>D27+D30+D32+D33+D35+D139</f>
        <v>0</v>
      </c>
      <c r="E148" s="78">
        <f>E27+E30+E32+E35+E139</f>
        <v>0</v>
      </c>
      <c r="F148" s="78">
        <f>F27+F30+F32+F33+F35+F139</f>
        <v>0</v>
      </c>
      <c r="G148" s="78"/>
      <c r="H148" s="78"/>
      <c r="I148" s="78">
        <f>I27+I30+I32+I35+I139+I33</f>
        <v>-3.7252902984619141E-9</v>
      </c>
    </row>
    <row r="151" spans="3:9" x14ac:dyDescent="0.2">
      <c r="F151" s="23"/>
    </row>
  </sheetData>
  <mergeCells count="42">
    <mergeCell ref="A140:A143"/>
    <mergeCell ref="B140:B141"/>
    <mergeCell ref="B142:B143"/>
    <mergeCell ref="A41:C41"/>
    <mergeCell ref="A43:A139"/>
    <mergeCell ref="B43:B49"/>
    <mergeCell ref="B50:B51"/>
    <mergeCell ref="B52:B53"/>
    <mergeCell ref="B54:B57"/>
    <mergeCell ref="B58:B60"/>
    <mergeCell ref="B61:B70"/>
    <mergeCell ref="B71:B72"/>
    <mergeCell ref="B73:B99"/>
    <mergeCell ref="B100:B120"/>
    <mergeCell ref="B121:B138"/>
    <mergeCell ref="A29:A36"/>
    <mergeCell ref="B29:C29"/>
    <mergeCell ref="B30:C30"/>
    <mergeCell ref="B31:C31"/>
    <mergeCell ref="B32:C32"/>
    <mergeCell ref="B33:C33"/>
    <mergeCell ref="A37:C37"/>
    <mergeCell ref="A38:A40"/>
    <mergeCell ref="B38:C38"/>
    <mergeCell ref="B39:C39"/>
    <mergeCell ref="B40:C40"/>
    <mergeCell ref="L125:L126"/>
    <mergeCell ref="D3:E3"/>
    <mergeCell ref="A4:C4"/>
    <mergeCell ref="A5:A18"/>
    <mergeCell ref="B5:B7"/>
    <mergeCell ref="B9:B12"/>
    <mergeCell ref="B13:B17"/>
    <mergeCell ref="B18:C18"/>
    <mergeCell ref="A19:A27"/>
    <mergeCell ref="B19:B22"/>
    <mergeCell ref="B23:B26"/>
    <mergeCell ref="B27:C27"/>
    <mergeCell ref="A28:C28"/>
    <mergeCell ref="B34:C34"/>
    <mergeCell ref="B35:C35"/>
    <mergeCell ref="B36:C36"/>
  </mergeCells>
  <pageMargins left="0.31496062992125984" right="0.11811023622047245" top="0.74803149606299213" bottom="0.74803149606299213" header="0.31496062992125984" footer="0.31496062992125984"/>
  <pageSetup paperSize="9" scale="94"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7"/>
  <sheetViews>
    <sheetView topLeftCell="A6" zoomScaleNormal="100" workbookViewId="0">
      <selection activeCell="B40" sqref="B40"/>
    </sheetView>
  </sheetViews>
  <sheetFormatPr defaultColWidth="9.109375" defaultRowHeight="10.199999999999999" x14ac:dyDescent="0.2"/>
  <cols>
    <col min="1" max="1" width="64.33203125" style="69" customWidth="1"/>
    <col min="2" max="2" width="13.44140625" style="69" customWidth="1"/>
    <col min="3" max="4" width="26.88671875" style="69" customWidth="1"/>
    <col min="5" max="5" width="26.88671875" style="69" bestFit="1" customWidth="1"/>
    <col min="6" max="6" width="17.5546875" style="69" bestFit="1" customWidth="1"/>
    <col min="7" max="16384" width="9.109375" style="69"/>
  </cols>
  <sheetData>
    <row r="2" spans="1:6" x14ac:dyDescent="0.2">
      <c r="A2" s="79" t="s">
        <v>1394</v>
      </c>
    </row>
    <row r="3" spans="1:6" x14ac:dyDescent="0.2">
      <c r="A3" s="79"/>
    </row>
    <row r="4" spans="1:6" hidden="1" x14ac:dyDescent="0.2">
      <c r="A4" s="120" t="s">
        <v>957</v>
      </c>
      <c r="B4" s="121" t="s">
        <v>968</v>
      </c>
    </row>
    <row r="5" spans="1:6" hidden="1" x14ac:dyDescent="0.2">
      <c r="A5" s="120" t="s">
        <v>775</v>
      </c>
      <c r="B5" s="121" t="s">
        <v>1424</v>
      </c>
    </row>
    <row r="6" spans="1:6" x14ac:dyDescent="0.2">
      <c r="A6" s="70"/>
      <c r="B6" s="70"/>
    </row>
    <row r="7" spans="1:6" ht="11.25" customHeight="1" x14ac:dyDescent="0.3">
      <c r="A7" s="120" t="s">
        <v>1423</v>
      </c>
      <c r="B7" s="121" t="s">
        <v>887</v>
      </c>
      <c r="C7"/>
      <c r="D7"/>
      <c r="E7"/>
      <c r="F7"/>
    </row>
    <row r="8" spans="1:6" ht="11.25" customHeight="1" x14ac:dyDescent="0.3">
      <c r="A8" s="122" t="s">
        <v>971</v>
      </c>
      <c r="B8" s="123">
        <v>180000</v>
      </c>
      <c r="C8"/>
      <c r="D8"/>
      <c r="E8"/>
      <c r="F8"/>
    </row>
    <row r="9" spans="1:6" ht="11.25" customHeight="1" x14ac:dyDescent="0.3">
      <c r="A9" s="124" t="s">
        <v>54</v>
      </c>
      <c r="B9" s="123">
        <v>155000</v>
      </c>
      <c r="C9"/>
      <c r="D9"/>
      <c r="E9"/>
      <c r="F9"/>
    </row>
    <row r="10" spans="1:6" ht="11.25" customHeight="1" x14ac:dyDescent="0.3">
      <c r="A10" s="125" t="s">
        <v>892</v>
      </c>
      <c r="B10" s="123">
        <v>25000</v>
      </c>
      <c r="C10"/>
      <c r="D10"/>
      <c r="E10"/>
      <c r="F10"/>
    </row>
    <row r="11" spans="1:6" ht="11.25" customHeight="1" x14ac:dyDescent="0.3">
      <c r="A11" s="125" t="s">
        <v>1097</v>
      </c>
      <c r="B11" s="123">
        <v>100000</v>
      </c>
      <c r="C11"/>
      <c r="D11"/>
      <c r="E11"/>
      <c r="F11"/>
    </row>
    <row r="12" spans="1:6" ht="11.25" customHeight="1" x14ac:dyDescent="0.3">
      <c r="A12" s="125" t="s">
        <v>1098</v>
      </c>
      <c r="B12" s="123">
        <v>30000</v>
      </c>
      <c r="C12"/>
      <c r="D12"/>
      <c r="E12"/>
      <c r="F12"/>
    </row>
    <row r="13" spans="1:6" ht="11.25" customHeight="1" x14ac:dyDescent="0.3">
      <c r="A13" s="124" t="s">
        <v>55</v>
      </c>
      <c r="B13" s="123">
        <v>25000</v>
      </c>
      <c r="C13"/>
      <c r="D13"/>
      <c r="E13"/>
      <c r="F13"/>
    </row>
    <row r="14" spans="1:6" ht="11.25" customHeight="1" x14ac:dyDescent="0.3">
      <c r="A14" s="125" t="s">
        <v>893</v>
      </c>
      <c r="B14" s="123">
        <v>25000</v>
      </c>
      <c r="C14"/>
      <c r="D14"/>
      <c r="E14"/>
      <c r="F14"/>
    </row>
    <row r="15" spans="1:6" ht="11.25" customHeight="1" x14ac:dyDescent="0.3">
      <c r="A15" s="122" t="s">
        <v>1569</v>
      </c>
      <c r="B15" s="123">
        <v>50968.800000000003</v>
      </c>
      <c r="C15"/>
      <c r="D15"/>
      <c r="E15"/>
      <c r="F15"/>
    </row>
    <row r="16" spans="1:6" ht="11.25" customHeight="1" x14ac:dyDescent="0.3">
      <c r="A16" s="124" t="s">
        <v>77</v>
      </c>
      <c r="B16" s="123">
        <v>50968.800000000003</v>
      </c>
      <c r="C16"/>
      <c r="D16"/>
      <c r="E16"/>
      <c r="F16"/>
    </row>
    <row r="17" spans="1:6" ht="11.25" customHeight="1" x14ac:dyDescent="0.3">
      <c r="A17" s="125" t="s">
        <v>1568</v>
      </c>
      <c r="B17" s="123">
        <v>50968.800000000003</v>
      </c>
      <c r="C17"/>
      <c r="D17"/>
      <c r="E17"/>
      <c r="F17"/>
    </row>
    <row r="18" spans="1:6" ht="11.25" customHeight="1" x14ac:dyDescent="0.3">
      <c r="A18" s="122" t="s">
        <v>970</v>
      </c>
      <c r="B18" s="123">
        <v>1784950.8</v>
      </c>
      <c r="C18"/>
      <c r="D18"/>
      <c r="E18"/>
      <c r="F18"/>
    </row>
    <row r="19" spans="1:6" ht="11.25" customHeight="1" x14ac:dyDescent="0.3">
      <c r="A19" s="124" t="s">
        <v>724</v>
      </c>
      <c r="B19" s="123">
        <v>235000</v>
      </c>
      <c r="C19"/>
      <c r="D19"/>
      <c r="E19"/>
      <c r="F19"/>
    </row>
    <row r="20" spans="1:6" ht="11.25" customHeight="1" x14ac:dyDescent="0.3">
      <c r="A20" s="125" t="s">
        <v>896</v>
      </c>
      <c r="B20" s="123">
        <v>185000</v>
      </c>
      <c r="C20"/>
      <c r="D20"/>
      <c r="E20"/>
      <c r="F20"/>
    </row>
    <row r="21" spans="1:6" ht="11.25" customHeight="1" x14ac:dyDescent="0.3">
      <c r="A21" s="125" t="s">
        <v>1141</v>
      </c>
      <c r="B21" s="123">
        <v>50000</v>
      </c>
      <c r="C21"/>
      <c r="D21"/>
      <c r="E21"/>
      <c r="F21"/>
    </row>
    <row r="22" spans="1:6" ht="11.25" customHeight="1" x14ac:dyDescent="0.3">
      <c r="A22" s="124" t="s">
        <v>98</v>
      </c>
      <c r="B22" s="123">
        <v>100000</v>
      </c>
      <c r="C22"/>
      <c r="D22"/>
      <c r="E22"/>
      <c r="F22"/>
    </row>
    <row r="23" spans="1:6" ht="11.25" customHeight="1" x14ac:dyDescent="0.3">
      <c r="A23" s="125" t="s">
        <v>1147</v>
      </c>
      <c r="B23" s="123">
        <v>100000</v>
      </c>
      <c r="C23"/>
      <c r="D23"/>
      <c r="E23"/>
      <c r="F23"/>
    </row>
    <row r="24" spans="1:6" ht="11.25" customHeight="1" x14ac:dyDescent="0.3">
      <c r="A24" s="124" t="s">
        <v>953</v>
      </c>
      <c r="B24" s="123">
        <v>1400000</v>
      </c>
      <c r="C24"/>
      <c r="D24"/>
      <c r="E24"/>
      <c r="F24"/>
    </row>
    <row r="25" spans="1:6" ht="11.25" customHeight="1" x14ac:dyDescent="0.3">
      <c r="A25" s="125" t="s">
        <v>1007</v>
      </c>
      <c r="B25" s="123">
        <v>1400000</v>
      </c>
      <c r="C25"/>
      <c r="D25"/>
      <c r="E25"/>
      <c r="F25"/>
    </row>
    <row r="26" spans="1:6" ht="11.25" customHeight="1" x14ac:dyDescent="0.3">
      <c r="A26" s="124" t="s">
        <v>230</v>
      </c>
      <c r="B26" s="123">
        <v>49950.8</v>
      </c>
      <c r="C26"/>
      <c r="D26"/>
      <c r="E26"/>
      <c r="F26"/>
    </row>
    <row r="27" spans="1:6" ht="11.25" customHeight="1" x14ac:dyDescent="0.3">
      <c r="A27" s="125" t="s">
        <v>1570</v>
      </c>
      <c r="B27" s="123">
        <v>49950.8</v>
      </c>
      <c r="C27"/>
      <c r="D27"/>
      <c r="E27"/>
      <c r="F27"/>
    </row>
    <row r="28" spans="1:6" ht="11.25" customHeight="1" x14ac:dyDescent="0.3">
      <c r="A28" s="122" t="s">
        <v>972</v>
      </c>
      <c r="B28" s="123">
        <v>448791.04000000004</v>
      </c>
      <c r="C28"/>
      <c r="D28"/>
      <c r="E28"/>
      <c r="F28"/>
    </row>
    <row r="29" spans="1:6" ht="11.25" customHeight="1" x14ac:dyDescent="0.3">
      <c r="A29" s="124" t="s">
        <v>288</v>
      </c>
      <c r="B29" s="123">
        <v>41480.400000000001</v>
      </c>
      <c r="C29"/>
      <c r="D29"/>
      <c r="E29"/>
      <c r="F29"/>
    </row>
    <row r="30" spans="1:6" ht="11.25" customHeight="1" x14ac:dyDescent="0.3">
      <c r="A30" s="125" t="s">
        <v>1003</v>
      </c>
      <c r="B30" s="123">
        <v>41480.400000000001</v>
      </c>
      <c r="C30"/>
      <c r="D30"/>
      <c r="E30"/>
      <c r="F30"/>
    </row>
    <row r="31" spans="1:6" ht="11.25" customHeight="1" x14ac:dyDescent="0.3">
      <c r="A31" s="124" t="s">
        <v>921</v>
      </c>
      <c r="B31" s="123">
        <v>80000</v>
      </c>
      <c r="C31"/>
      <c r="D31"/>
      <c r="E31"/>
      <c r="F31"/>
    </row>
    <row r="32" spans="1:6" ht="11.25" customHeight="1" x14ac:dyDescent="0.3">
      <c r="A32" s="125" t="s">
        <v>1542</v>
      </c>
      <c r="B32" s="123">
        <v>80000</v>
      </c>
      <c r="C32"/>
      <c r="D32"/>
      <c r="E32"/>
      <c r="F32"/>
    </row>
    <row r="33" spans="1:6" ht="11.25" customHeight="1" x14ac:dyDescent="0.3">
      <c r="A33" s="124" t="s">
        <v>263</v>
      </c>
      <c r="B33" s="123">
        <v>80000</v>
      </c>
      <c r="C33"/>
      <c r="D33"/>
      <c r="E33"/>
      <c r="F33"/>
    </row>
    <row r="34" spans="1:6" ht="11.25" customHeight="1" x14ac:dyDescent="0.3">
      <c r="A34" s="125" t="s">
        <v>897</v>
      </c>
      <c r="B34" s="123">
        <v>80000</v>
      </c>
      <c r="C34"/>
      <c r="D34"/>
      <c r="E34"/>
      <c r="F34"/>
    </row>
    <row r="35" spans="1:6" ht="11.25" customHeight="1" x14ac:dyDescent="0.3">
      <c r="A35" s="124" t="s">
        <v>249</v>
      </c>
      <c r="B35" s="123">
        <v>50000</v>
      </c>
      <c r="C35"/>
      <c r="D35"/>
      <c r="E35"/>
      <c r="F35"/>
    </row>
    <row r="36" spans="1:6" ht="11.25" customHeight="1" x14ac:dyDescent="0.3">
      <c r="A36" s="125" t="s">
        <v>1140</v>
      </c>
      <c r="B36" s="123">
        <v>50000</v>
      </c>
      <c r="C36"/>
      <c r="D36"/>
      <c r="E36"/>
      <c r="F36"/>
    </row>
    <row r="37" spans="1:6" ht="11.25" customHeight="1" x14ac:dyDescent="0.3">
      <c r="A37" s="124" t="s">
        <v>111</v>
      </c>
      <c r="B37" s="123">
        <v>10000</v>
      </c>
      <c r="C37"/>
      <c r="D37"/>
      <c r="E37"/>
      <c r="F37"/>
    </row>
    <row r="38" spans="1:6" ht="11.25" customHeight="1" x14ac:dyDescent="0.3">
      <c r="A38" s="125" t="s">
        <v>1026</v>
      </c>
      <c r="B38" s="123">
        <v>10000</v>
      </c>
      <c r="C38"/>
      <c r="D38"/>
      <c r="E38"/>
      <c r="F38"/>
    </row>
    <row r="39" spans="1:6" ht="11.25" customHeight="1" x14ac:dyDescent="0.3">
      <c r="A39" s="124" t="s">
        <v>1566</v>
      </c>
      <c r="B39" s="123">
        <v>187310.64</v>
      </c>
      <c r="C39"/>
      <c r="D39"/>
      <c r="E39"/>
      <c r="F39"/>
    </row>
    <row r="40" spans="1:6" ht="11.25" customHeight="1" x14ac:dyDescent="0.3">
      <c r="A40" s="125" t="s">
        <v>1565</v>
      </c>
      <c r="B40" s="123">
        <v>187310.64</v>
      </c>
      <c r="C40"/>
      <c r="D40"/>
      <c r="E40"/>
      <c r="F40"/>
    </row>
    <row r="41" spans="1:6" ht="11.25" customHeight="1" x14ac:dyDescent="0.3">
      <c r="A41" s="122" t="s">
        <v>562</v>
      </c>
      <c r="B41" s="123">
        <v>2464710.64</v>
      </c>
      <c r="C41"/>
      <c r="D41"/>
      <c r="E41"/>
      <c r="F41"/>
    </row>
    <row r="42" spans="1:6" ht="11.25" customHeight="1" x14ac:dyDescent="0.3">
      <c r="A42"/>
      <c r="B42"/>
      <c r="C42"/>
      <c r="D42"/>
      <c r="E42"/>
      <c r="F42"/>
    </row>
    <row r="43" spans="1:6" ht="11.25" customHeight="1" x14ac:dyDescent="0.3">
      <c r="A43"/>
      <c r="B43"/>
      <c r="C43"/>
      <c r="D43"/>
      <c r="E43"/>
      <c r="F43"/>
    </row>
    <row r="44" spans="1:6" ht="11.25" customHeight="1" x14ac:dyDescent="0.3">
      <c r="A44"/>
      <c r="B44"/>
      <c r="C44"/>
      <c r="D44"/>
      <c r="E44"/>
      <c r="F44"/>
    </row>
    <row r="45" spans="1:6" ht="11.25" customHeight="1" x14ac:dyDescent="0.3">
      <c r="A45"/>
      <c r="B45"/>
      <c r="C45"/>
      <c r="D45"/>
      <c r="E45"/>
      <c r="F45"/>
    </row>
    <row r="46" spans="1:6" ht="11.25" customHeight="1" x14ac:dyDescent="0.3">
      <c r="A46"/>
      <c r="B46"/>
      <c r="C46"/>
      <c r="D46"/>
      <c r="E46"/>
      <c r="F46"/>
    </row>
    <row r="47" spans="1:6" ht="11.25" customHeight="1" x14ac:dyDescent="0.3">
      <c r="A47"/>
      <c r="B47"/>
      <c r="C47"/>
      <c r="D47"/>
      <c r="E47"/>
      <c r="F47"/>
    </row>
    <row r="48" spans="1:6" ht="11.25" customHeight="1" x14ac:dyDescent="0.3">
      <c r="A48"/>
      <c r="B48"/>
      <c r="C48"/>
      <c r="D48"/>
      <c r="E48"/>
      <c r="F48"/>
    </row>
    <row r="49" spans="1:6" ht="11.25" customHeight="1" x14ac:dyDescent="0.3">
      <c r="A49"/>
      <c r="B49"/>
      <c r="C49"/>
      <c r="D49"/>
      <c r="E49"/>
      <c r="F49"/>
    </row>
    <row r="50" spans="1:6" ht="11.25" customHeight="1" x14ac:dyDescent="0.3">
      <c r="A50"/>
      <c r="B50"/>
      <c r="C50"/>
      <c r="D50"/>
      <c r="E50"/>
      <c r="F50"/>
    </row>
    <row r="51" spans="1:6" ht="11.25" customHeight="1" x14ac:dyDescent="0.3">
      <c r="A51"/>
      <c r="B51"/>
      <c r="C51"/>
      <c r="D51"/>
      <c r="E51"/>
      <c r="F51"/>
    </row>
    <row r="52" spans="1:6" ht="11.25" customHeight="1" x14ac:dyDescent="0.3">
      <c r="A52"/>
      <c r="B52"/>
      <c r="C52"/>
      <c r="D52"/>
      <c r="E52"/>
      <c r="F52"/>
    </row>
    <row r="53" spans="1:6" ht="11.25" customHeight="1" x14ac:dyDescent="0.3">
      <c r="A53"/>
      <c r="B53"/>
      <c r="C53"/>
      <c r="D53"/>
      <c r="E53"/>
      <c r="F53"/>
    </row>
    <row r="54" spans="1:6" ht="11.25" customHeight="1" x14ac:dyDescent="0.3">
      <c r="A54"/>
      <c r="B54"/>
      <c r="C54"/>
      <c r="D54"/>
      <c r="E54"/>
      <c r="F54"/>
    </row>
    <row r="55" spans="1:6" ht="11.25" customHeight="1" x14ac:dyDescent="0.3">
      <c r="A55"/>
      <c r="B55"/>
      <c r="C55"/>
      <c r="D55"/>
      <c r="E55"/>
      <c r="F55"/>
    </row>
    <row r="56" spans="1:6" ht="11.25" customHeight="1" x14ac:dyDescent="0.3">
      <c r="A56"/>
      <c r="B56"/>
      <c r="C56"/>
      <c r="D56"/>
      <c r="E56"/>
      <c r="F56"/>
    </row>
    <row r="57" spans="1:6" ht="11.25" customHeight="1" x14ac:dyDescent="0.3">
      <c r="A57"/>
      <c r="B57"/>
      <c r="C57"/>
      <c r="D57"/>
      <c r="E57"/>
      <c r="F57"/>
    </row>
    <row r="58" spans="1:6" ht="11.25" customHeight="1" x14ac:dyDescent="0.3">
      <c r="A58"/>
      <c r="B58"/>
      <c r="C58"/>
      <c r="D58"/>
      <c r="E58"/>
      <c r="F58"/>
    </row>
    <row r="59" spans="1:6" ht="11.25" customHeight="1" x14ac:dyDescent="0.3">
      <c r="A59"/>
      <c r="B59"/>
      <c r="C59"/>
      <c r="D59"/>
      <c r="E59"/>
      <c r="F59"/>
    </row>
    <row r="60" spans="1:6" ht="11.25" customHeight="1" x14ac:dyDescent="0.3">
      <c r="A60"/>
      <c r="B60"/>
      <c r="C60"/>
      <c r="D60"/>
      <c r="E60"/>
      <c r="F60"/>
    </row>
    <row r="61" spans="1:6" ht="11.25" customHeight="1" x14ac:dyDescent="0.3">
      <c r="A61"/>
      <c r="B61"/>
      <c r="C61"/>
      <c r="D61"/>
      <c r="E61"/>
      <c r="F61"/>
    </row>
    <row r="62" spans="1:6" ht="11.25" customHeight="1" x14ac:dyDescent="0.3">
      <c r="A62"/>
      <c r="B62"/>
      <c r="C62"/>
      <c r="D62"/>
      <c r="E62"/>
      <c r="F62"/>
    </row>
    <row r="63" spans="1:6" ht="11.25" customHeight="1" x14ac:dyDescent="0.3">
      <c r="A63"/>
      <c r="B63"/>
      <c r="C63"/>
      <c r="D63"/>
      <c r="E63"/>
      <c r="F63"/>
    </row>
    <row r="64" spans="1:6" ht="11.25" customHeight="1" x14ac:dyDescent="0.3">
      <c r="A64"/>
      <c r="B64"/>
      <c r="C64"/>
      <c r="D64"/>
      <c r="E64"/>
      <c r="F64"/>
    </row>
    <row r="65" spans="1:6" ht="11.25" customHeight="1" x14ac:dyDescent="0.3">
      <c r="A65"/>
      <c r="B65"/>
      <c r="C65"/>
      <c r="D65"/>
      <c r="E65"/>
      <c r="F65"/>
    </row>
    <row r="66" spans="1:6" ht="11.25" customHeight="1" x14ac:dyDescent="0.3">
      <c r="A66"/>
      <c r="B66"/>
      <c r="C66"/>
      <c r="D66"/>
      <c r="E66"/>
      <c r="F66"/>
    </row>
    <row r="67" spans="1:6" ht="11.25" customHeight="1" x14ac:dyDescent="0.3">
      <c r="A67"/>
      <c r="B67"/>
      <c r="C67"/>
      <c r="D67"/>
      <c r="E67"/>
      <c r="F67"/>
    </row>
    <row r="68" spans="1:6" ht="11.25" customHeight="1" x14ac:dyDescent="0.3">
      <c r="A68"/>
      <c r="B68"/>
      <c r="C68"/>
      <c r="D68"/>
      <c r="E68"/>
      <c r="F68"/>
    </row>
    <row r="69" spans="1:6" ht="11.25" customHeight="1" x14ac:dyDescent="0.3">
      <c r="A69"/>
      <c r="B69"/>
      <c r="C69"/>
      <c r="D69"/>
      <c r="E69"/>
      <c r="F69"/>
    </row>
    <row r="70" spans="1:6" ht="14.4" x14ac:dyDescent="0.3">
      <c r="A70"/>
      <c r="B70"/>
      <c r="C70"/>
      <c r="D70"/>
      <c r="E70"/>
      <c r="F70"/>
    </row>
    <row r="71" spans="1:6" ht="14.4" x14ac:dyDescent="0.3">
      <c r="A71"/>
      <c r="B71"/>
      <c r="C71"/>
      <c r="D71"/>
      <c r="E71"/>
      <c r="F71"/>
    </row>
    <row r="72" spans="1:6" ht="14.4" x14ac:dyDescent="0.3">
      <c r="A72"/>
      <c r="B72"/>
      <c r="C72"/>
      <c r="D72"/>
    </row>
    <row r="73" spans="1:6" ht="14.4" x14ac:dyDescent="0.3">
      <c r="A73"/>
      <c r="B73"/>
      <c r="C73"/>
      <c r="D73"/>
    </row>
    <row r="74" spans="1:6" ht="14.4" x14ac:dyDescent="0.3">
      <c r="A74"/>
      <c r="B74"/>
      <c r="C74"/>
      <c r="D74"/>
    </row>
    <row r="75" spans="1:6" ht="14.4" x14ac:dyDescent="0.3">
      <c r="A75"/>
      <c r="B75"/>
      <c r="C75"/>
      <c r="D75"/>
    </row>
    <row r="76" spans="1:6" ht="14.4" x14ac:dyDescent="0.3">
      <c r="A76"/>
      <c r="B76"/>
      <c r="C76"/>
      <c r="D76"/>
    </row>
    <row r="77" spans="1:6" ht="14.4" x14ac:dyDescent="0.3">
      <c r="A77"/>
      <c r="B77"/>
      <c r="C77"/>
      <c r="D77"/>
    </row>
    <row r="78" spans="1:6" ht="14.4" x14ac:dyDescent="0.3">
      <c r="A78"/>
      <c r="B78"/>
      <c r="C78"/>
      <c r="D78"/>
    </row>
    <row r="79" spans="1:6" ht="14.4" x14ac:dyDescent="0.3">
      <c r="A79"/>
      <c r="B79"/>
      <c r="C79"/>
      <c r="D79"/>
    </row>
    <row r="80" spans="1:6" ht="14.4" x14ac:dyDescent="0.3">
      <c r="A80"/>
      <c r="B80"/>
      <c r="C80"/>
      <c r="D80"/>
    </row>
    <row r="81" spans="1:4" ht="14.4" x14ac:dyDescent="0.3">
      <c r="A81"/>
      <c r="B81"/>
      <c r="C81"/>
      <c r="D81"/>
    </row>
    <row r="82" spans="1:4" ht="14.4" x14ac:dyDescent="0.3">
      <c r="A82"/>
      <c r="B82"/>
      <c r="C82"/>
      <c r="D82"/>
    </row>
    <row r="83" spans="1:4" ht="14.4" x14ac:dyDescent="0.3">
      <c r="A83"/>
      <c r="B83"/>
      <c r="C83"/>
      <c r="D83"/>
    </row>
    <row r="84" spans="1:4" ht="14.4" x14ac:dyDescent="0.3">
      <c r="A84"/>
      <c r="B84"/>
      <c r="C84"/>
      <c r="D84"/>
    </row>
    <row r="85" spans="1:4" ht="14.4" x14ac:dyDescent="0.3">
      <c r="A85"/>
      <c r="B85"/>
      <c r="C85"/>
      <c r="D85"/>
    </row>
    <row r="86" spans="1:4" ht="14.4" x14ac:dyDescent="0.3">
      <c r="A86"/>
      <c r="B86"/>
      <c r="C86"/>
      <c r="D86"/>
    </row>
    <row r="87" spans="1:4" ht="14.4" x14ac:dyDescent="0.3">
      <c r="A87"/>
      <c r="B87"/>
      <c r="C87"/>
      <c r="D87"/>
    </row>
    <row r="88" spans="1:4" ht="14.4" x14ac:dyDescent="0.3">
      <c r="A88"/>
      <c r="B88"/>
      <c r="C88"/>
      <c r="D88"/>
    </row>
    <row r="89" spans="1:4" ht="14.4" x14ac:dyDescent="0.3">
      <c r="A89"/>
      <c r="B89"/>
      <c r="C89"/>
      <c r="D89"/>
    </row>
    <row r="90" spans="1:4" ht="14.4" x14ac:dyDescent="0.3">
      <c r="A90"/>
      <c r="B90"/>
      <c r="C90"/>
      <c r="D90"/>
    </row>
    <row r="91" spans="1:4" ht="14.4" x14ac:dyDescent="0.3">
      <c r="A91"/>
      <c r="B91"/>
      <c r="C91"/>
      <c r="D91"/>
    </row>
    <row r="92" spans="1:4" ht="14.4" x14ac:dyDescent="0.3">
      <c r="A92"/>
      <c r="B92"/>
      <c r="C92"/>
      <c r="D92"/>
    </row>
    <row r="93" spans="1:4" ht="14.4" x14ac:dyDescent="0.3">
      <c r="A93"/>
      <c r="B93"/>
      <c r="C93"/>
      <c r="D93"/>
    </row>
    <row r="94" spans="1:4" ht="14.4" x14ac:dyDescent="0.3">
      <c r="A94"/>
      <c r="B94"/>
      <c r="C94"/>
      <c r="D94"/>
    </row>
    <row r="95" spans="1:4" ht="14.4" x14ac:dyDescent="0.3">
      <c r="A95"/>
      <c r="B95"/>
      <c r="C95"/>
      <c r="D95"/>
    </row>
    <row r="96" spans="1:4" ht="14.4" x14ac:dyDescent="0.3">
      <c r="A96"/>
      <c r="B96"/>
      <c r="C96"/>
      <c r="D96"/>
    </row>
    <row r="97" spans="1:4" ht="14.4" x14ac:dyDescent="0.3">
      <c r="A97"/>
      <c r="B97"/>
      <c r="C97"/>
      <c r="D97"/>
    </row>
  </sheetData>
  <pageMargins left="0.7" right="0.7" top="0.75" bottom="0.75" header="0.3" footer="0.3"/>
  <pageSetup paperSize="8" scale="82"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8"/>
  <sheetViews>
    <sheetView zoomScale="85" zoomScaleNormal="85" workbookViewId="0">
      <selection activeCell="B10" sqref="B10"/>
    </sheetView>
  </sheetViews>
  <sheetFormatPr defaultRowHeight="14.4" x14ac:dyDescent="0.3"/>
  <cols>
    <col min="1" max="1" width="62.33203125" bestFit="1" customWidth="1"/>
    <col min="2" max="2" width="14.33203125" customWidth="1"/>
    <col min="3" max="3" width="17.88671875" customWidth="1"/>
    <col min="4" max="4" width="18.44140625" customWidth="1"/>
  </cols>
  <sheetData>
    <row r="3" spans="1:4" x14ac:dyDescent="0.3">
      <c r="A3" s="48" t="s">
        <v>1423</v>
      </c>
      <c r="B3" t="s">
        <v>887</v>
      </c>
      <c r="C3" t="s">
        <v>988</v>
      </c>
      <c r="D3" t="s">
        <v>994</v>
      </c>
    </row>
    <row r="4" spans="1:4" x14ac:dyDescent="0.3">
      <c r="A4" s="49" t="s">
        <v>24</v>
      </c>
      <c r="B4" s="51"/>
      <c r="C4" s="51"/>
      <c r="D4" s="51"/>
    </row>
    <row r="5" spans="1:4" x14ac:dyDescent="0.3">
      <c r="A5" s="50" t="s">
        <v>31</v>
      </c>
      <c r="B5" s="51">
        <v>6797594.0660000034</v>
      </c>
      <c r="C5" s="51"/>
      <c r="D5" s="51"/>
    </row>
    <row r="6" spans="1:4" x14ac:dyDescent="0.3">
      <c r="A6" s="50" t="s">
        <v>26</v>
      </c>
      <c r="B6" s="51">
        <v>697006</v>
      </c>
      <c r="C6" s="51"/>
      <c r="D6" s="51"/>
    </row>
    <row r="7" spans="1:4" x14ac:dyDescent="0.3">
      <c r="A7" s="50" t="s">
        <v>32</v>
      </c>
      <c r="B7" s="51">
        <v>3872523.3200000003</v>
      </c>
      <c r="C7" s="51"/>
      <c r="D7" s="51"/>
    </row>
    <row r="8" spans="1:4" x14ac:dyDescent="0.3">
      <c r="A8" s="50" t="s">
        <v>28</v>
      </c>
      <c r="B8" s="51">
        <v>36671</v>
      </c>
      <c r="C8" s="51"/>
      <c r="D8" s="51"/>
    </row>
    <row r="9" spans="1:4" x14ac:dyDescent="0.3">
      <c r="A9" s="50" t="s">
        <v>27</v>
      </c>
      <c r="B9" s="51">
        <v>323501.48</v>
      </c>
      <c r="C9" s="51"/>
      <c r="D9" s="51"/>
    </row>
    <row r="10" spans="1:4" x14ac:dyDescent="0.3">
      <c r="A10" s="50" t="s">
        <v>33</v>
      </c>
      <c r="B10" s="51">
        <v>62123.656987999995</v>
      </c>
      <c r="C10" s="51"/>
      <c r="D10" s="51"/>
    </row>
    <row r="11" spans="1:4" x14ac:dyDescent="0.3">
      <c r="A11" s="49" t="s">
        <v>891</v>
      </c>
      <c r="B11" s="51"/>
      <c r="C11" s="51"/>
      <c r="D11" s="51"/>
    </row>
    <row r="12" spans="1:4" x14ac:dyDescent="0.3">
      <c r="A12" s="50" t="s">
        <v>39</v>
      </c>
      <c r="B12" s="51">
        <v>2464710.6399999997</v>
      </c>
      <c r="C12" s="51"/>
      <c r="D12" s="51"/>
    </row>
    <row r="13" spans="1:4" x14ac:dyDescent="0.3">
      <c r="A13" s="50" t="s">
        <v>43</v>
      </c>
      <c r="B13" s="51">
        <v>39901.69</v>
      </c>
      <c r="C13" s="51"/>
      <c r="D13" s="51"/>
    </row>
    <row r="14" spans="1:4" x14ac:dyDescent="0.3">
      <c r="A14" s="50" t="s">
        <v>41</v>
      </c>
      <c r="B14" s="51">
        <v>169729</v>
      </c>
      <c r="C14" s="51"/>
      <c r="D14" s="51"/>
    </row>
    <row r="15" spans="1:4" x14ac:dyDescent="0.3">
      <c r="A15" s="50" t="s">
        <v>998</v>
      </c>
      <c r="B15" s="51">
        <v>300000</v>
      </c>
      <c r="C15" s="51"/>
      <c r="D15" s="51"/>
    </row>
    <row r="16" spans="1:4" x14ac:dyDescent="0.3">
      <c r="A16" s="49" t="s">
        <v>46</v>
      </c>
      <c r="B16" s="51"/>
      <c r="C16" s="51"/>
      <c r="D16" s="51"/>
    </row>
    <row r="17" spans="1:4" x14ac:dyDescent="0.3">
      <c r="A17" s="50" t="s">
        <v>48</v>
      </c>
      <c r="B17" s="51">
        <v>888835.38000000012</v>
      </c>
      <c r="C17" s="51"/>
      <c r="D17" s="51"/>
    </row>
    <row r="18" spans="1:4" x14ac:dyDescent="0.3">
      <c r="A18" s="49" t="s">
        <v>1425</v>
      </c>
      <c r="B18" s="51">
        <v>15652596.232988004</v>
      </c>
      <c r="C18" s="51"/>
      <c r="D18" s="51"/>
    </row>
  </sheetData>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36" zoomScale="85" zoomScaleNormal="85" workbookViewId="0">
      <selection activeCell="B45" sqref="B45"/>
    </sheetView>
  </sheetViews>
  <sheetFormatPr defaultRowHeight="14.4" x14ac:dyDescent="0.3"/>
  <cols>
    <col min="1" max="1" width="49.88671875" bestFit="1" customWidth="1"/>
    <col min="2" max="2" width="19" bestFit="1" customWidth="1"/>
    <col min="3" max="3" width="17.88671875" customWidth="1"/>
    <col min="4" max="4" width="18.44140625" customWidth="1"/>
  </cols>
  <sheetData>
    <row r="1" spans="1:4" x14ac:dyDescent="0.3">
      <c r="A1" s="48" t="s">
        <v>775</v>
      </c>
      <c r="B1" t="s">
        <v>1424</v>
      </c>
    </row>
    <row r="3" spans="1:4" x14ac:dyDescent="0.3">
      <c r="A3" s="48" t="s">
        <v>1423</v>
      </c>
      <c r="B3" t="s">
        <v>887</v>
      </c>
      <c r="C3" t="s">
        <v>988</v>
      </c>
      <c r="D3" t="s">
        <v>994</v>
      </c>
    </row>
    <row r="4" spans="1:4" x14ac:dyDescent="0.3">
      <c r="A4" s="49" t="s">
        <v>106</v>
      </c>
      <c r="B4" s="51">
        <v>1832967.0511999996</v>
      </c>
      <c r="C4" s="51"/>
      <c r="D4" s="51"/>
    </row>
    <row r="5" spans="1:4" x14ac:dyDescent="0.3">
      <c r="A5" s="49" t="s">
        <v>119</v>
      </c>
      <c r="B5" s="51">
        <v>572490.07000000007</v>
      </c>
      <c r="C5" s="51"/>
      <c r="D5" s="51"/>
    </row>
    <row r="6" spans="1:4" x14ac:dyDescent="0.3">
      <c r="A6" s="49" t="s">
        <v>124</v>
      </c>
      <c r="B6" s="51">
        <v>31000</v>
      </c>
      <c r="C6" s="51"/>
      <c r="D6" s="51"/>
    </row>
    <row r="7" spans="1:4" x14ac:dyDescent="0.3">
      <c r="A7" s="49" t="s">
        <v>116</v>
      </c>
      <c r="B7" s="51">
        <v>8300</v>
      </c>
      <c r="C7" s="51"/>
      <c r="D7" s="51"/>
    </row>
    <row r="8" spans="1:4" x14ac:dyDescent="0.3">
      <c r="A8" s="49" t="s">
        <v>72</v>
      </c>
      <c r="B8" s="51">
        <v>9517.44</v>
      </c>
      <c r="C8" s="51"/>
      <c r="D8" s="51"/>
    </row>
    <row r="9" spans="1:4" x14ac:dyDescent="0.3">
      <c r="A9" s="49" t="s">
        <v>55</v>
      </c>
      <c r="B9" s="51">
        <v>84183.656988000002</v>
      </c>
      <c r="C9" s="51"/>
      <c r="D9" s="51"/>
    </row>
    <row r="10" spans="1:4" x14ac:dyDescent="0.3">
      <c r="A10" s="49" t="s">
        <v>112</v>
      </c>
      <c r="B10" s="51">
        <v>209950.2</v>
      </c>
      <c r="C10" s="51"/>
      <c r="D10" s="51"/>
    </row>
    <row r="11" spans="1:4" x14ac:dyDescent="0.3">
      <c r="A11" s="49" t="s">
        <v>121</v>
      </c>
      <c r="B11" s="51">
        <v>1005653.28</v>
      </c>
      <c r="C11" s="51"/>
      <c r="D11" s="51"/>
    </row>
    <row r="12" spans="1:4" x14ac:dyDescent="0.3">
      <c r="A12" s="49" t="s">
        <v>67</v>
      </c>
      <c r="B12" s="51">
        <v>485320</v>
      </c>
      <c r="C12" s="51"/>
      <c r="D12" s="51"/>
    </row>
    <row r="13" spans="1:4" x14ac:dyDescent="0.3">
      <c r="A13" s="49" t="s">
        <v>120</v>
      </c>
      <c r="B13" s="51">
        <v>74051.040000000008</v>
      </c>
      <c r="C13" s="51"/>
      <c r="D13" s="51"/>
    </row>
    <row r="14" spans="1:4" x14ac:dyDescent="0.3">
      <c r="A14" s="49" t="s">
        <v>78</v>
      </c>
      <c r="B14" s="51">
        <v>711059.91640000022</v>
      </c>
      <c r="C14" s="51"/>
      <c r="D14" s="51"/>
    </row>
    <row r="15" spans="1:4" x14ac:dyDescent="0.3">
      <c r="A15" s="49" t="s">
        <v>114</v>
      </c>
      <c r="B15" s="51">
        <v>320192.28000000003</v>
      </c>
      <c r="C15" s="51"/>
      <c r="D15" s="51"/>
    </row>
    <row r="16" spans="1:4" x14ac:dyDescent="0.3">
      <c r="A16" s="49" t="s">
        <v>73</v>
      </c>
      <c r="B16" s="51">
        <v>518.4</v>
      </c>
      <c r="C16" s="51"/>
      <c r="D16" s="51"/>
    </row>
    <row r="17" spans="1:4" x14ac:dyDescent="0.3">
      <c r="A17" s="49" t="s">
        <v>69</v>
      </c>
      <c r="B17" s="51">
        <v>309260</v>
      </c>
      <c r="C17" s="51"/>
      <c r="D17" s="51"/>
    </row>
    <row r="18" spans="1:4" x14ac:dyDescent="0.3">
      <c r="A18" s="49" t="s">
        <v>122</v>
      </c>
      <c r="B18" s="51">
        <v>128378.16</v>
      </c>
      <c r="C18" s="51"/>
      <c r="D18" s="51"/>
    </row>
    <row r="19" spans="1:4" x14ac:dyDescent="0.3">
      <c r="A19" s="49" t="s">
        <v>118</v>
      </c>
      <c r="B19" s="51">
        <v>370796.79999999999</v>
      </c>
      <c r="C19" s="51"/>
      <c r="D19" s="51"/>
    </row>
    <row r="20" spans="1:4" x14ac:dyDescent="0.3">
      <c r="A20" s="49" t="s">
        <v>61</v>
      </c>
      <c r="B20" s="51">
        <v>1000</v>
      </c>
      <c r="C20" s="51"/>
      <c r="D20" s="51"/>
    </row>
    <row r="21" spans="1:4" x14ac:dyDescent="0.3">
      <c r="A21" s="49" t="s">
        <v>127</v>
      </c>
      <c r="B21" s="51">
        <v>168096.96000000002</v>
      </c>
      <c r="C21" s="51"/>
      <c r="D21" s="51"/>
    </row>
    <row r="22" spans="1:4" x14ac:dyDescent="0.3">
      <c r="A22" s="49" t="s">
        <v>126</v>
      </c>
      <c r="B22" s="51">
        <v>23740</v>
      </c>
      <c r="C22" s="51"/>
      <c r="D22" s="51"/>
    </row>
    <row r="23" spans="1:4" x14ac:dyDescent="0.3">
      <c r="A23" s="49" t="s">
        <v>84</v>
      </c>
      <c r="B23" s="51">
        <v>36629</v>
      </c>
      <c r="C23" s="51"/>
      <c r="D23" s="51"/>
    </row>
    <row r="24" spans="1:4" x14ac:dyDescent="0.3">
      <c r="A24" s="49" t="s">
        <v>104</v>
      </c>
      <c r="B24" s="51">
        <v>29448</v>
      </c>
      <c r="C24" s="51"/>
      <c r="D24" s="51"/>
    </row>
    <row r="25" spans="1:4" x14ac:dyDescent="0.3">
      <c r="A25" s="49" t="s">
        <v>101</v>
      </c>
      <c r="B25" s="51">
        <v>41376.959999999999</v>
      </c>
      <c r="C25" s="51"/>
      <c r="D25" s="51"/>
    </row>
    <row r="26" spans="1:4" x14ac:dyDescent="0.3">
      <c r="A26" s="49" t="s">
        <v>90</v>
      </c>
      <c r="B26" s="51">
        <v>104709.54000000001</v>
      </c>
      <c r="C26" s="51"/>
      <c r="D26" s="51"/>
    </row>
    <row r="27" spans="1:4" x14ac:dyDescent="0.3">
      <c r="A27" s="49" t="s">
        <v>111</v>
      </c>
      <c r="B27" s="51">
        <v>300551.76</v>
      </c>
      <c r="C27" s="51"/>
      <c r="D27" s="51"/>
    </row>
    <row r="28" spans="1:4" x14ac:dyDescent="0.3">
      <c r="A28" s="49" t="s">
        <v>117</v>
      </c>
      <c r="B28" s="51">
        <v>14100</v>
      </c>
      <c r="C28" s="51"/>
      <c r="D28" s="51"/>
    </row>
    <row r="29" spans="1:4" x14ac:dyDescent="0.3">
      <c r="A29" s="49" t="s">
        <v>107</v>
      </c>
      <c r="B29" s="51">
        <v>3499603.4204000002</v>
      </c>
      <c r="C29" s="51"/>
      <c r="D29" s="51"/>
    </row>
    <row r="30" spans="1:4" x14ac:dyDescent="0.3">
      <c r="A30" s="49" t="s">
        <v>64</v>
      </c>
      <c r="B30" s="51">
        <v>22510.1</v>
      </c>
      <c r="C30" s="51"/>
      <c r="D30" s="51"/>
    </row>
    <row r="31" spans="1:4" x14ac:dyDescent="0.3">
      <c r="A31" s="49" t="s">
        <v>93</v>
      </c>
      <c r="B31" s="51">
        <v>1660389.7980000004</v>
      </c>
      <c r="C31" s="51"/>
      <c r="D31" s="51"/>
    </row>
    <row r="32" spans="1:4" x14ac:dyDescent="0.3">
      <c r="A32" s="49" t="s">
        <v>96</v>
      </c>
      <c r="B32" s="51">
        <v>429328.63</v>
      </c>
      <c r="C32" s="51"/>
      <c r="D32" s="51"/>
    </row>
    <row r="33" spans="1:4" x14ac:dyDescent="0.3">
      <c r="A33" s="49" t="s">
        <v>125</v>
      </c>
      <c r="B33" s="51">
        <v>83207</v>
      </c>
      <c r="C33" s="51"/>
      <c r="D33" s="51"/>
    </row>
    <row r="34" spans="1:4" x14ac:dyDescent="0.3">
      <c r="A34" s="49" t="s">
        <v>103</v>
      </c>
      <c r="B34" s="51">
        <v>16000</v>
      </c>
      <c r="C34" s="51"/>
      <c r="D34" s="51"/>
    </row>
    <row r="35" spans="1:4" x14ac:dyDescent="0.3">
      <c r="A35" s="49" t="s">
        <v>371</v>
      </c>
      <c r="B35" s="51">
        <v>700</v>
      </c>
      <c r="C35" s="51"/>
      <c r="D35" s="51"/>
    </row>
    <row r="36" spans="1:4" x14ac:dyDescent="0.3">
      <c r="A36" s="49" t="s">
        <v>68</v>
      </c>
      <c r="B36" s="51">
        <v>54399.6</v>
      </c>
      <c r="C36" s="51"/>
      <c r="D36" s="51"/>
    </row>
    <row r="37" spans="1:4" x14ac:dyDescent="0.3">
      <c r="A37" s="49" t="s">
        <v>87</v>
      </c>
      <c r="B37" s="51">
        <v>237845.55</v>
      </c>
      <c r="C37" s="51"/>
      <c r="D37" s="51"/>
    </row>
    <row r="38" spans="1:4" x14ac:dyDescent="0.3">
      <c r="A38" s="49" t="s">
        <v>77</v>
      </c>
      <c r="B38" s="51">
        <v>102068.8</v>
      </c>
      <c r="C38" s="51"/>
      <c r="D38" s="51"/>
    </row>
    <row r="39" spans="1:4" x14ac:dyDescent="0.3">
      <c r="A39" s="49" t="s">
        <v>123</v>
      </c>
      <c r="B39" s="51">
        <v>3000</v>
      </c>
      <c r="C39" s="51"/>
      <c r="D39" s="51"/>
    </row>
    <row r="40" spans="1:4" x14ac:dyDescent="0.3">
      <c r="A40" s="49" t="s">
        <v>92</v>
      </c>
      <c r="B40" s="51">
        <v>306670</v>
      </c>
      <c r="C40" s="51"/>
      <c r="D40" s="51"/>
    </row>
    <row r="41" spans="1:4" x14ac:dyDescent="0.3">
      <c r="A41" s="49" t="s">
        <v>57</v>
      </c>
      <c r="B41" s="51">
        <v>39901.69</v>
      </c>
      <c r="C41" s="51"/>
      <c r="D41" s="51"/>
    </row>
    <row r="42" spans="1:4" x14ac:dyDescent="0.3">
      <c r="A42" s="49" t="s">
        <v>54</v>
      </c>
      <c r="B42" s="51">
        <v>875438.86999999988</v>
      </c>
      <c r="C42" s="51"/>
      <c r="D42" s="51"/>
    </row>
    <row r="43" spans="1:4" x14ac:dyDescent="0.3">
      <c r="A43" s="49" t="s">
        <v>53</v>
      </c>
      <c r="B43" s="51">
        <v>61752.800000000003</v>
      </c>
      <c r="C43" s="51"/>
      <c r="D43" s="51"/>
    </row>
    <row r="44" spans="1:4" x14ac:dyDescent="0.3">
      <c r="A44" s="49" t="s">
        <v>76</v>
      </c>
      <c r="B44" s="51">
        <v>300000</v>
      </c>
      <c r="C44" s="51"/>
      <c r="D44" s="51"/>
    </row>
    <row r="45" spans="1:4" x14ac:dyDescent="0.3">
      <c r="A45" s="49" t="s">
        <v>113</v>
      </c>
      <c r="B45" s="51">
        <v>46754.080000000009</v>
      </c>
      <c r="C45" s="51"/>
      <c r="D45" s="51"/>
    </row>
    <row r="46" spans="1:4" x14ac:dyDescent="0.3">
      <c r="A46" s="49" t="s">
        <v>58</v>
      </c>
      <c r="B46" s="51">
        <v>33961</v>
      </c>
      <c r="C46" s="51"/>
      <c r="D46" s="51"/>
    </row>
    <row r="47" spans="1:4" x14ac:dyDescent="0.3">
      <c r="A47" s="49" t="s">
        <v>110</v>
      </c>
      <c r="B47" s="51">
        <v>116938.99999999999</v>
      </c>
      <c r="C47" s="51"/>
      <c r="D47" s="51"/>
    </row>
    <row r="48" spans="1:4" x14ac:dyDescent="0.3">
      <c r="A48" s="49" t="s">
        <v>1425</v>
      </c>
      <c r="B48" s="51">
        <v>14763760.852988003</v>
      </c>
      <c r="C48" s="51"/>
      <c r="D48" s="51"/>
    </row>
  </sheetData>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zoomScale="85" zoomScaleNormal="85" workbookViewId="0">
      <selection activeCell="B19" sqref="B19"/>
    </sheetView>
  </sheetViews>
  <sheetFormatPr defaultRowHeight="14.4" x14ac:dyDescent="0.3"/>
  <cols>
    <col min="1" max="1" width="49.88671875" bestFit="1" customWidth="1"/>
    <col min="2" max="2" width="14.33203125" customWidth="1"/>
    <col min="3" max="3" width="17.88671875" customWidth="1"/>
    <col min="4" max="4" width="18.44140625" customWidth="1"/>
  </cols>
  <sheetData>
    <row r="1" spans="1:4" x14ac:dyDescent="0.3">
      <c r="A1" s="48" t="s">
        <v>775</v>
      </c>
      <c r="B1" t="s">
        <v>1426</v>
      </c>
    </row>
    <row r="3" spans="1:4" x14ac:dyDescent="0.3">
      <c r="A3" s="48" t="s">
        <v>1423</v>
      </c>
      <c r="B3" t="s">
        <v>887</v>
      </c>
      <c r="C3" t="s">
        <v>988</v>
      </c>
      <c r="D3" t="s">
        <v>994</v>
      </c>
    </row>
    <row r="4" spans="1:4" x14ac:dyDescent="0.3">
      <c r="A4" s="49" t="s">
        <v>387</v>
      </c>
      <c r="B4" s="51">
        <v>21200</v>
      </c>
      <c r="C4" s="51"/>
      <c r="D4" s="51"/>
    </row>
    <row r="5" spans="1:4" x14ac:dyDescent="0.3">
      <c r="A5" s="49" t="s">
        <v>124</v>
      </c>
      <c r="B5" s="51">
        <v>31000</v>
      </c>
      <c r="C5" s="51"/>
      <c r="D5" s="51"/>
    </row>
    <row r="6" spans="1:4" x14ac:dyDescent="0.3">
      <c r="A6" s="49" t="s">
        <v>391</v>
      </c>
      <c r="B6" s="51">
        <v>1200</v>
      </c>
      <c r="C6" s="51"/>
      <c r="D6" s="51"/>
    </row>
    <row r="7" spans="1:4" x14ac:dyDescent="0.3">
      <c r="A7" s="49" t="s">
        <v>116</v>
      </c>
      <c r="B7" s="51">
        <v>8300</v>
      </c>
      <c r="C7" s="51"/>
      <c r="D7" s="51"/>
    </row>
    <row r="8" spans="1:4" x14ac:dyDescent="0.3">
      <c r="A8" s="49" t="s">
        <v>343</v>
      </c>
      <c r="B8" s="51">
        <v>85766</v>
      </c>
      <c r="C8" s="51"/>
      <c r="D8" s="51"/>
    </row>
    <row r="9" spans="1:4" x14ac:dyDescent="0.3">
      <c r="A9" s="49" t="s">
        <v>339</v>
      </c>
      <c r="B9" s="51">
        <v>190726.28</v>
      </c>
      <c r="C9" s="51"/>
      <c r="D9" s="51"/>
    </row>
    <row r="10" spans="1:4" x14ac:dyDescent="0.3">
      <c r="A10" s="49" t="s">
        <v>357</v>
      </c>
      <c r="B10" s="51">
        <v>44124</v>
      </c>
      <c r="C10" s="51"/>
      <c r="D10" s="51"/>
    </row>
    <row r="11" spans="1:4" x14ac:dyDescent="0.3">
      <c r="A11" s="49" t="s">
        <v>155</v>
      </c>
      <c r="B11" s="51">
        <v>249441.04</v>
      </c>
      <c r="C11" s="51"/>
      <c r="D11" s="51"/>
    </row>
    <row r="12" spans="1:4" x14ac:dyDescent="0.3">
      <c r="A12" s="49" t="s">
        <v>656</v>
      </c>
      <c r="B12" s="51">
        <v>17000</v>
      </c>
      <c r="C12" s="51"/>
      <c r="D12" s="51"/>
    </row>
    <row r="13" spans="1:4" x14ac:dyDescent="0.3">
      <c r="A13" s="49" t="s">
        <v>684</v>
      </c>
      <c r="B13" s="51">
        <v>9662.4</v>
      </c>
      <c r="C13" s="51"/>
      <c r="D13" s="51"/>
    </row>
    <row r="14" spans="1:4" x14ac:dyDescent="0.3">
      <c r="A14" s="49" t="s">
        <v>350</v>
      </c>
      <c r="B14" s="51">
        <v>98000</v>
      </c>
      <c r="C14" s="51"/>
      <c r="D14" s="51"/>
    </row>
    <row r="15" spans="1:4" x14ac:dyDescent="0.3">
      <c r="A15" s="49" t="s">
        <v>354</v>
      </c>
      <c r="B15" s="51">
        <v>130000</v>
      </c>
      <c r="C15" s="51"/>
      <c r="D15" s="51"/>
    </row>
    <row r="16" spans="1:4" x14ac:dyDescent="0.3">
      <c r="A16" s="49" t="s">
        <v>647</v>
      </c>
      <c r="B16" s="51">
        <v>12680</v>
      </c>
      <c r="C16" s="51"/>
      <c r="D16" s="51"/>
    </row>
    <row r="17" spans="1:4" x14ac:dyDescent="0.3">
      <c r="A17" s="49" t="s">
        <v>72</v>
      </c>
      <c r="B17" s="51">
        <v>9517.44</v>
      </c>
      <c r="C17" s="51"/>
      <c r="D17" s="51"/>
    </row>
    <row r="18" spans="1:4" x14ac:dyDescent="0.3">
      <c r="A18" s="49" t="s">
        <v>328</v>
      </c>
      <c r="B18" s="51">
        <v>32393.946400000001</v>
      </c>
      <c r="C18" s="51"/>
      <c r="D18" s="51"/>
    </row>
    <row r="19" spans="1:4" x14ac:dyDescent="0.3">
      <c r="A19" s="49" t="s">
        <v>724</v>
      </c>
      <c r="B19" s="51">
        <v>239100</v>
      </c>
      <c r="C19" s="51"/>
      <c r="D19" s="51"/>
    </row>
    <row r="20" spans="1:4" x14ac:dyDescent="0.3">
      <c r="A20" s="49" t="s">
        <v>55</v>
      </c>
      <c r="B20" s="51">
        <v>84183.656988000002</v>
      </c>
      <c r="C20" s="51"/>
      <c r="D20" s="51"/>
    </row>
    <row r="21" spans="1:4" x14ac:dyDescent="0.3">
      <c r="A21" s="49" t="s">
        <v>361</v>
      </c>
      <c r="B21" s="51">
        <v>246682.88</v>
      </c>
      <c r="C21" s="51"/>
      <c r="D21" s="51"/>
    </row>
    <row r="22" spans="1:4" x14ac:dyDescent="0.3">
      <c r="A22" s="49" t="s">
        <v>112</v>
      </c>
      <c r="B22" s="51">
        <v>209950.2</v>
      </c>
      <c r="C22" s="51"/>
      <c r="D22" s="51"/>
    </row>
    <row r="23" spans="1:4" x14ac:dyDescent="0.3">
      <c r="A23" s="49" t="s">
        <v>294</v>
      </c>
      <c r="B23" s="51">
        <v>201231.55880000003</v>
      </c>
      <c r="C23" s="51"/>
      <c r="D23" s="51"/>
    </row>
    <row r="24" spans="1:4" x14ac:dyDescent="0.3">
      <c r="A24" s="49" t="s">
        <v>439</v>
      </c>
      <c r="B24" s="51">
        <v>8000</v>
      </c>
      <c r="C24" s="51"/>
      <c r="D24" s="51"/>
    </row>
    <row r="25" spans="1:4" x14ac:dyDescent="0.3">
      <c r="A25" s="49" t="s">
        <v>288</v>
      </c>
      <c r="B25" s="51">
        <v>286702.11400000006</v>
      </c>
      <c r="C25" s="51"/>
      <c r="D25" s="51"/>
    </row>
    <row r="26" spans="1:4" x14ac:dyDescent="0.3">
      <c r="A26" s="49" t="s">
        <v>95</v>
      </c>
      <c r="B26" s="51">
        <v>60081.667999999991</v>
      </c>
      <c r="C26" s="51"/>
      <c r="D26" s="51"/>
    </row>
    <row r="27" spans="1:4" x14ac:dyDescent="0.3">
      <c r="A27" s="49" t="s">
        <v>98</v>
      </c>
      <c r="B27" s="51">
        <v>196708.84</v>
      </c>
      <c r="C27" s="51"/>
      <c r="D27" s="51"/>
    </row>
    <row r="28" spans="1:4" x14ac:dyDescent="0.3">
      <c r="A28" s="49" t="s">
        <v>418</v>
      </c>
      <c r="B28" s="51">
        <v>18381.77</v>
      </c>
      <c r="C28" s="51"/>
      <c r="D28" s="51"/>
    </row>
    <row r="29" spans="1:4" x14ac:dyDescent="0.3">
      <c r="A29" s="49" t="s">
        <v>722</v>
      </c>
      <c r="B29" s="51">
        <v>242660</v>
      </c>
      <c r="C29" s="51"/>
      <c r="D29" s="51"/>
    </row>
    <row r="30" spans="1:4" x14ac:dyDescent="0.3">
      <c r="A30" s="49" t="s">
        <v>382</v>
      </c>
      <c r="B30" s="51">
        <v>35758</v>
      </c>
      <c r="C30" s="51"/>
      <c r="D30" s="51"/>
    </row>
    <row r="31" spans="1:4" x14ac:dyDescent="0.3">
      <c r="A31" s="49" t="s">
        <v>73</v>
      </c>
      <c r="B31" s="51">
        <v>518.4</v>
      </c>
      <c r="C31" s="51"/>
      <c r="D31" s="51"/>
    </row>
    <row r="32" spans="1:4" x14ac:dyDescent="0.3">
      <c r="A32" s="49" t="s">
        <v>69</v>
      </c>
      <c r="B32" s="51">
        <v>309260</v>
      </c>
      <c r="C32" s="51"/>
      <c r="D32" s="51"/>
    </row>
    <row r="33" spans="1:4" x14ac:dyDescent="0.3">
      <c r="A33" s="49" t="s">
        <v>61</v>
      </c>
      <c r="B33" s="51">
        <v>1000</v>
      </c>
      <c r="C33" s="51"/>
      <c r="D33" s="51"/>
    </row>
    <row r="34" spans="1:4" x14ac:dyDescent="0.3">
      <c r="A34" s="49" t="s">
        <v>127</v>
      </c>
      <c r="B34" s="51">
        <v>168096.96000000002</v>
      </c>
      <c r="C34" s="51"/>
      <c r="D34" s="51"/>
    </row>
    <row r="35" spans="1:4" x14ac:dyDescent="0.3">
      <c r="A35" s="49" t="s">
        <v>126</v>
      </c>
      <c r="B35" s="51">
        <v>23740</v>
      </c>
      <c r="C35" s="51"/>
      <c r="D35" s="51"/>
    </row>
    <row r="36" spans="1:4" x14ac:dyDescent="0.3">
      <c r="A36" s="49" t="s">
        <v>84</v>
      </c>
      <c r="B36" s="51">
        <v>36629</v>
      </c>
      <c r="C36" s="51"/>
      <c r="D36" s="51"/>
    </row>
    <row r="37" spans="1:4" x14ac:dyDescent="0.3">
      <c r="A37" s="49" t="s">
        <v>104</v>
      </c>
      <c r="B37" s="51">
        <v>29448</v>
      </c>
      <c r="C37" s="51"/>
      <c r="D37" s="51"/>
    </row>
    <row r="38" spans="1:4" x14ac:dyDescent="0.3">
      <c r="A38" s="49" t="s">
        <v>394</v>
      </c>
      <c r="B38" s="51">
        <v>14600</v>
      </c>
      <c r="C38" s="51"/>
      <c r="D38" s="51"/>
    </row>
    <row r="39" spans="1:4" x14ac:dyDescent="0.3">
      <c r="A39" s="49" t="s">
        <v>385</v>
      </c>
      <c r="B39" s="51">
        <v>287669.28000000003</v>
      </c>
      <c r="C39" s="51"/>
      <c r="D39" s="51"/>
    </row>
    <row r="40" spans="1:4" x14ac:dyDescent="0.3">
      <c r="A40" s="49" t="s">
        <v>377</v>
      </c>
      <c r="B40" s="51">
        <v>8000</v>
      </c>
      <c r="C40" s="51"/>
      <c r="D40" s="51"/>
    </row>
    <row r="41" spans="1:4" x14ac:dyDescent="0.3">
      <c r="A41" s="49" t="s">
        <v>179</v>
      </c>
      <c r="B41" s="51">
        <v>45682.19</v>
      </c>
      <c r="C41" s="51"/>
      <c r="D41" s="51"/>
    </row>
    <row r="42" spans="1:4" x14ac:dyDescent="0.3">
      <c r="A42" s="49" t="s">
        <v>352</v>
      </c>
      <c r="B42" s="51">
        <v>52980</v>
      </c>
      <c r="C42" s="51"/>
      <c r="D42" s="51"/>
    </row>
    <row r="43" spans="1:4" x14ac:dyDescent="0.3">
      <c r="A43" s="49" t="s">
        <v>415</v>
      </c>
      <c r="B43" s="51">
        <v>10327.77</v>
      </c>
      <c r="C43" s="51"/>
      <c r="D43" s="51"/>
    </row>
    <row r="44" spans="1:4" x14ac:dyDescent="0.3">
      <c r="A44" s="49" t="s">
        <v>111</v>
      </c>
      <c r="B44" s="51">
        <v>10000</v>
      </c>
      <c r="C44" s="51"/>
      <c r="D44" s="51"/>
    </row>
    <row r="45" spans="1:4" x14ac:dyDescent="0.3">
      <c r="A45" s="49" t="s">
        <v>210</v>
      </c>
      <c r="B45" s="51">
        <v>82862.240000000005</v>
      </c>
      <c r="C45" s="51"/>
      <c r="D45" s="51"/>
    </row>
    <row r="46" spans="1:4" x14ac:dyDescent="0.3">
      <c r="A46" s="49" t="s">
        <v>709</v>
      </c>
      <c r="B46" s="51">
        <v>4000</v>
      </c>
      <c r="C46" s="51"/>
      <c r="D46" s="51"/>
    </row>
    <row r="47" spans="1:4" x14ac:dyDescent="0.3">
      <c r="A47" s="49" t="s">
        <v>117</v>
      </c>
      <c r="B47" s="51">
        <v>14100</v>
      </c>
      <c r="C47" s="51"/>
      <c r="D47" s="51"/>
    </row>
    <row r="48" spans="1:4" x14ac:dyDescent="0.3">
      <c r="A48" s="49" t="s">
        <v>64</v>
      </c>
      <c r="B48" s="51">
        <v>22510.1</v>
      </c>
      <c r="C48" s="51"/>
      <c r="D48" s="51"/>
    </row>
    <row r="49" spans="1:4" x14ac:dyDescent="0.3">
      <c r="A49" s="49" t="s">
        <v>640</v>
      </c>
      <c r="B49" s="51">
        <v>2520</v>
      </c>
      <c r="C49" s="51"/>
      <c r="D49" s="51"/>
    </row>
    <row r="50" spans="1:4" x14ac:dyDescent="0.3">
      <c r="A50" s="49" t="s">
        <v>669</v>
      </c>
      <c r="B50" s="51">
        <v>5940</v>
      </c>
      <c r="C50" s="51"/>
      <c r="D50" s="51"/>
    </row>
    <row r="51" spans="1:4" x14ac:dyDescent="0.3">
      <c r="A51" s="49" t="s">
        <v>125</v>
      </c>
      <c r="B51" s="51">
        <v>83207</v>
      </c>
      <c r="C51" s="51"/>
      <c r="D51" s="51"/>
    </row>
    <row r="52" spans="1:4" x14ac:dyDescent="0.3">
      <c r="A52" s="49" t="s">
        <v>103</v>
      </c>
      <c r="B52" s="51">
        <v>16000</v>
      </c>
      <c r="C52" s="51"/>
      <c r="D52" s="51"/>
    </row>
    <row r="53" spans="1:4" x14ac:dyDescent="0.3">
      <c r="A53" s="49" t="s">
        <v>371</v>
      </c>
      <c r="B53" s="51">
        <v>700</v>
      </c>
      <c r="C53" s="51"/>
      <c r="D53" s="51"/>
    </row>
    <row r="54" spans="1:4" x14ac:dyDescent="0.3">
      <c r="A54" s="49" t="s">
        <v>263</v>
      </c>
      <c r="B54" s="51">
        <v>612565.576</v>
      </c>
      <c r="C54" s="51"/>
      <c r="D54" s="51"/>
    </row>
    <row r="55" spans="1:4" x14ac:dyDescent="0.3">
      <c r="A55" s="49" t="s">
        <v>277</v>
      </c>
      <c r="B55" s="51">
        <v>129044.22200000001</v>
      </c>
      <c r="C55" s="51"/>
      <c r="D55" s="51"/>
    </row>
    <row r="56" spans="1:4" x14ac:dyDescent="0.3">
      <c r="A56" s="49" t="s">
        <v>204</v>
      </c>
      <c r="B56" s="51">
        <v>74551.63</v>
      </c>
      <c r="C56" s="51"/>
      <c r="D56" s="51"/>
    </row>
    <row r="57" spans="1:4" x14ac:dyDescent="0.3">
      <c r="A57" s="49" t="s">
        <v>261</v>
      </c>
      <c r="B57" s="51">
        <v>46754.080000000009</v>
      </c>
      <c r="C57" s="51"/>
      <c r="D57" s="51"/>
    </row>
    <row r="58" spans="1:4" x14ac:dyDescent="0.3">
      <c r="A58" s="49" t="s">
        <v>80</v>
      </c>
      <c r="B58" s="51">
        <v>195319.84</v>
      </c>
      <c r="C58" s="51"/>
      <c r="D58" s="51"/>
    </row>
    <row r="59" spans="1:4" x14ac:dyDescent="0.3">
      <c r="A59" s="49" t="s">
        <v>332</v>
      </c>
      <c r="B59" s="51">
        <v>18980.16</v>
      </c>
      <c r="C59" s="51"/>
      <c r="D59" s="51"/>
    </row>
    <row r="60" spans="1:4" x14ac:dyDescent="0.3">
      <c r="A60" s="49" t="s">
        <v>68</v>
      </c>
      <c r="B60" s="51">
        <v>54399.6</v>
      </c>
      <c r="C60" s="51"/>
      <c r="D60" s="51"/>
    </row>
    <row r="61" spans="1:4" x14ac:dyDescent="0.3">
      <c r="A61" s="49" t="s">
        <v>434</v>
      </c>
      <c r="B61" s="51">
        <v>27450</v>
      </c>
      <c r="C61" s="51"/>
      <c r="D61" s="51"/>
    </row>
    <row r="62" spans="1:4" x14ac:dyDescent="0.3">
      <c r="A62" s="49" t="s">
        <v>430</v>
      </c>
      <c r="B62" s="51">
        <v>30247.360000000001</v>
      </c>
      <c r="C62" s="51"/>
      <c r="D62" s="51"/>
    </row>
    <row r="63" spans="1:4" x14ac:dyDescent="0.3">
      <c r="A63" s="49" t="s">
        <v>437</v>
      </c>
      <c r="B63" s="51">
        <v>5866</v>
      </c>
      <c r="C63" s="51"/>
      <c r="D63" s="51"/>
    </row>
    <row r="64" spans="1:4" x14ac:dyDescent="0.3">
      <c r="A64" s="49" t="s">
        <v>630</v>
      </c>
      <c r="B64" s="51">
        <v>41500</v>
      </c>
      <c r="C64" s="51"/>
      <c r="D64" s="51"/>
    </row>
    <row r="65" spans="1:4" x14ac:dyDescent="0.3">
      <c r="A65" s="49" t="s">
        <v>165</v>
      </c>
      <c r="B65" s="51">
        <v>167425.85</v>
      </c>
      <c r="C65" s="51"/>
      <c r="D65" s="51"/>
    </row>
    <row r="66" spans="1:4" x14ac:dyDescent="0.3">
      <c r="A66" s="49" t="s">
        <v>420</v>
      </c>
      <c r="B66" s="51">
        <v>242660</v>
      </c>
      <c r="C66" s="51"/>
      <c r="D66" s="51"/>
    </row>
    <row r="67" spans="1:4" x14ac:dyDescent="0.3">
      <c r="A67" s="49" t="s">
        <v>214</v>
      </c>
      <c r="B67" s="51">
        <v>23350</v>
      </c>
      <c r="C67" s="51"/>
      <c r="D67" s="51"/>
    </row>
    <row r="68" spans="1:4" x14ac:dyDescent="0.3">
      <c r="A68" s="49" t="s">
        <v>256</v>
      </c>
      <c r="B68" s="51">
        <v>178784.22039999999</v>
      </c>
      <c r="C68" s="51"/>
      <c r="D68" s="51"/>
    </row>
    <row r="69" spans="1:4" x14ac:dyDescent="0.3">
      <c r="A69" s="49" t="s">
        <v>259</v>
      </c>
      <c r="B69" s="51">
        <v>66182.828000000009</v>
      </c>
      <c r="C69" s="51"/>
      <c r="D69" s="51"/>
    </row>
    <row r="70" spans="1:4" x14ac:dyDescent="0.3">
      <c r="A70" s="49" t="s">
        <v>627</v>
      </c>
      <c r="B70" s="51">
        <v>5780.16</v>
      </c>
      <c r="C70" s="51"/>
      <c r="D70" s="51"/>
    </row>
    <row r="71" spans="1:4" x14ac:dyDescent="0.3">
      <c r="A71" s="49" t="s">
        <v>659</v>
      </c>
      <c r="B71" s="51">
        <v>75786.8</v>
      </c>
      <c r="C71" s="51"/>
      <c r="D71" s="51"/>
    </row>
    <row r="72" spans="1:4" x14ac:dyDescent="0.3">
      <c r="A72" s="49" t="s">
        <v>77</v>
      </c>
      <c r="B72" s="51">
        <v>102068.8</v>
      </c>
      <c r="C72" s="51"/>
      <c r="D72" s="51"/>
    </row>
    <row r="73" spans="1:4" x14ac:dyDescent="0.3">
      <c r="A73" s="49" t="s">
        <v>123</v>
      </c>
      <c r="B73" s="51">
        <v>3000</v>
      </c>
      <c r="C73" s="51"/>
      <c r="D73" s="51"/>
    </row>
    <row r="74" spans="1:4" x14ac:dyDescent="0.3">
      <c r="A74" s="49" t="s">
        <v>732</v>
      </c>
      <c r="B74" s="51">
        <v>9571.76</v>
      </c>
      <c r="C74" s="51"/>
      <c r="D74" s="51"/>
    </row>
    <row r="75" spans="1:4" x14ac:dyDescent="0.3">
      <c r="A75" s="49" t="s">
        <v>100</v>
      </c>
      <c r="B75" s="51">
        <v>45233.100000000006</v>
      </c>
      <c r="C75" s="51"/>
      <c r="D75" s="51"/>
    </row>
    <row r="76" spans="1:4" x14ac:dyDescent="0.3">
      <c r="A76" s="49" t="s">
        <v>145</v>
      </c>
      <c r="B76" s="51">
        <v>270809.59999999998</v>
      </c>
      <c r="C76" s="51"/>
      <c r="D76" s="51"/>
    </row>
    <row r="77" spans="1:4" x14ac:dyDescent="0.3">
      <c r="A77" s="49" t="s">
        <v>94</v>
      </c>
      <c r="B77" s="51">
        <v>29983.108</v>
      </c>
      <c r="C77" s="51"/>
      <c r="D77" s="51"/>
    </row>
    <row r="78" spans="1:4" x14ac:dyDescent="0.3">
      <c r="A78" s="49" t="s">
        <v>81</v>
      </c>
      <c r="B78" s="51">
        <v>277943.52</v>
      </c>
      <c r="C78" s="51"/>
      <c r="D78" s="51"/>
    </row>
    <row r="79" spans="1:4" x14ac:dyDescent="0.3">
      <c r="A79" s="49" t="s">
        <v>57</v>
      </c>
      <c r="B79" s="51">
        <v>928737.07000000007</v>
      </c>
      <c r="C79" s="51"/>
      <c r="D79" s="51"/>
    </row>
    <row r="80" spans="1:4" x14ac:dyDescent="0.3">
      <c r="A80" s="49" t="s">
        <v>54</v>
      </c>
      <c r="B80" s="51">
        <v>875438.86999999988</v>
      </c>
      <c r="C80" s="51"/>
      <c r="D80" s="51"/>
    </row>
    <row r="81" spans="1:4" x14ac:dyDescent="0.3">
      <c r="A81" s="49" t="s">
        <v>53</v>
      </c>
      <c r="B81" s="51">
        <v>61752.800000000003</v>
      </c>
      <c r="C81" s="51"/>
      <c r="D81" s="51"/>
    </row>
    <row r="82" spans="1:4" x14ac:dyDescent="0.3">
      <c r="A82" s="49" t="s">
        <v>445</v>
      </c>
      <c r="B82" s="51">
        <v>32720</v>
      </c>
      <c r="C82" s="51"/>
      <c r="D82" s="51"/>
    </row>
    <row r="83" spans="1:4" x14ac:dyDescent="0.3">
      <c r="A83" s="49" t="s">
        <v>76</v>
      </c>
      <c r="B83" s="51">
        <v>300000</v>
      </c>
      <c r="C83" s="51"/>
      <c r="D83" s="51"/>
    </row>
    <row r="84" spans="1:4" x14ac:dyDescent="0.3">
      <c r="A84" s="49" t="s">
        <v>99</v>
      </c>
      <c r="B84" s="51">
        <v>29972.82</v>
      </c>
      <c r="C84" s="51"/>
      <c r="D84" s="51"/>
    </row>
    <row r="85" spans="1:4" x14ac:dyDescent="0.3">
      <c r="A85" s="49" t="s">
        <v>740</v>
      </c>
      <c r="B85" s="51">
        <v>3500</v>
      </c>
      <c r="C85" s="51"/>
      <c r="D85" s="51"/>
    </row>
    <row r="86" spans="1:4" x14ac:dyDescent="0.3">
      <c r="A86" s="49" t="s">
        <v>304</v>
      </c>
      <c r="B86" s="51">
        <v>587709.45199999993</v>
      </c>
      <c r="C86" s="51"/>
      <c r="D86" s="51"/>
    </row>
    <row r="87" spans="1:4" x14ac:dyDescent="0.3">
      <c r="A87" s="49" t="s">
        <v>458</v>
      </c>
      <c r="B87" s="51">
        <v>837984</v>
      </c>
      <c r="C87" s="51"/>
      <c r="D87" s="51"/>
    </row>
    <row r="88" spans="1:4" x14ac:dyDescent="0.3">
      <c r="A88" s="49" t="s">
        <v>951</v>
      </c>
      <c r="B88" s="51">
        <v>14254.619999999999</v>
      </c>
      <c r="C88" s="51"/>
      <c r="D88" s="51"/>
    </row>
    <row r="89" spans="1:4" x14ac:dyDescent="0.3">
      <c r="A89" s="49" t="s">
        <v>475</v>
      </c>
      <c r="B89" s="51">
        <v>120000</v>
      </c>
      <c r="C89" s="51"/>
      <c r="D89" s="51"/>
    </row>
    <row r="90" spans="1:4" x14ac:dyDescent="0.3">
      <c r="A90" s="49" t="s">
        <v>413</v>
      </c>
      <c r="B90" s="51">
        <v>72000</v>
      </c>
      <c r="C90" s="51"/>
      <c r="D90" s="51"/>
    </row>
    <row r="91" spans="1:4" x14ac:dyDescent="0.3">
      <c r="A91" s="49" t="s">
        <v>102</v>
      </c>
      <c r="B91" s="51">
        <v>41376.959999999999</v>
      </c>
      <c r="C91" s="51"/>
      <c r="D91" s="51"/>
    </row>
    <row r="92" spans="1:4" x14ac:dyDescent="0.3">
      <c r="A92" s="49" t="s">
        <v>249</v>
      </c>
      <c r="B92" s="51">
        <v>1711779.7299999997</v>
      </c>
      <c r="C92" s="51"/>
      <c r="D92" s="51"/>
    </row>
    <row r="93" spans="1:4" x14ac:dyDescent="0.3">
      <c r="A93" s="49" t="s">
        <v>379</v>
      </c>
      <c r="B93" s="51">
        <v>34820</v>
      </c>
      <c r="C93" s="51"/>
      <c r="D93" s="51"/>
    </row>
    <row r="94" spans="1:4" x14ac:dyDescent="0.3">
      <c r="A94" s="49" t="s">
        <v>58</v>
      </c>
      <c r="B94" s="51">
        <v>33961</v>
      </c>
      <c r="C94" s="51"/>
      <c r="D94" s="51"/>
    </row>
    <row r="95" spans="1:4" x14ac:dyDescent="0.3">
      <c r="A95" s="49" t="s">
        <v>286</v>
      </c>
      <c r="B95" s="51">
        <v>52300</v>
      </c>
      <c r="C95" s="51"/>
      <c r="D95" s="51"/>
    </row>
    <row r="96" spans="1:4" x14ac:dyDescent="0.3">
      <c r="A96" s="49" t="s">
        <v>79</v>
      </c>
      <c r="B96" s="51">
        <v>176760.05000000002</v>
      </c>
      <c r="C96" s="51"/>
      <c r="D96" s="51"/>
    </row>
    <row r="97" spans="1:4" x14ac:dyDescent="0.3">
      <c r="A97" s="49" t="s">
        <v>907</v>
      </c>
      <c r="B97" s="51">
        <v>47000</v>
      </c>
      <c r="C97" s="51"/>
      <c r="D97" s="51"/>
    </row>
    <row r="98" spans="1:4" x14ac:dyDescent="0.3">
      <c r="A98" s="49" t="s">
        <v>908</v>
      </c>
      <c r="B98" s="51">
        <v>149796.31999999998</v>
      </c>
      <c r="C98" s="51"/>
      <c r="D98" s="51"/>
    </row>
    <row r="99" spans="1:4" x14ac:dyDescent="0.3">
      <c r="A99" s="49" t="s">
        <v>921</v>
      </c>
      <c r="B99" s="51">
        <v>359996.55640000006</v>
      </c>
      <c r="C99" s="51"/>
      <c r="D99" s="51"/>
    </row>
    <row r="100" spans="1:4" x14ac:dyDescent="0.3">
      <c r="A100" s="49" t="s">
        <v>922</v>
      </c>
      <c r="B100" s="51">
        <v>116938.99999999999</v>
      </c>
      <c r="C100" s="51"/>
      <c r="D100" s="51"/>
    </row>
    <row r="101" spans="1:4" x14ac:dyDescent="0.3">
      <c r="A101" s="49" t="s">
        <v>244</v>
      </c>
      <c r="B101" s="51">
        <v>20334.697999999997</v>
      </c>
      <c r="C101" s="51"/>
      <c r="D101" s="51"/>
    </row>
    <row r="102" spans="1:4" x14ac:dyDescent="0.3">
      <c r="A102" s="49" t="s">
        <v>241</v>
      </c>
      <c r="B102" s="51">
        <v>13197.524000000001</v>
      </c>
      <c r="C102" s="51"/>
      <c r="D102" s="51"/>
    </row>
    <row r="103" spans="1:4" x14ac:dyDescent="0.3">
      <c r="A103" s="49" t="s">
        <v>953</v>
      </c>
      <c r="B103" s="51">
        <v>1468969.402</v>
      </c>
      <c r="C103" s="51"/>
      <c r="D103" s="51"/>
    </row>
    <row r="104" spans="1:4" x14ac:dyDescent="0.3">
      <c r="A104" s="49" t="s">
        <v>230</v>
      </c>
      <c r="B104" s="51">
        <v>67823.398000000001</v>
      </c>
      <c r="C104" s="51"/>
      <c r="D104" s="51"/>
    </row>
    <row r="105" spans="1:4" x14ac:dyDescent="0.3">
      <c r="A105" s="49" t="s">
        <v>1566</v>
      </c>
      <c r="B105" s="51">
        <v>757971.01400000008</v>
      </c>
      <c r="C105" s="51"/>
      <c r="D105" s="51"/>
    </row>
    <row r="106" spans="1:4" x14ac:dyDescent="0.3">
      <c r="A106" s="49" t="s">
        <v>1425</v>
      </c>
      <c r="B106" s="51">
        <v>15652596.232988002</v>
      </c>
      <c r="C106" s="51"/>
      <c r="D106" s="5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97"/>
  <sheetViews>
    <sheetView topLeftCell="A67" workbookViewId="0">
      <selection activeCell="B97" sqref="B97"/>
    </sheetView>
  </sheetViews>
  <sheetFormatPr defaultRowHeight="14.4" x14ac:dyDescent="0.3"/>
  <cols>
    <col min="1" max="1" width="29" bestFit="1" customWidth="1"/>
    <col min="2" max="2" width="16.33203125" customWidth="1"/>
    <col min="3" max="3" width="11.44140625" bestFit="1" customWidth="1"/>
    <col min="4" max="4" width="10" bestFit="1" customWidth="1"/>
    <col min="5" max="5" width="11.44140625" bestFit="1" customWidth="1"/>
  </cols>
  <sheetData>
    <row r="3" spans="1:5" x14ac:dyDescent="0.3">
      <c r="A3" s="48" t="s">
        <v>887</v>
      </c>
      <c r="B3" s="48" t="s">
        <v>1577</v>
      </c>
    </row>
    <row r="4" spans="1:5" x14ac:dyDescent="0.3">
      <c r="A4" s="48" t="s">
        <v>1423</v>
      </c>
      <c r="B4" t="s">
        <v>968</v>
      </c>
      <c r="C4" t="s">
        <v>1576</v>
      </c>
      <c r="D4" t="s">
        <v>238</v>
      </c>
      <c r="E4" t="s">
        <v>1425</v>
      </c>
    </row>
    <row r="5" spans="1:5" x14ac:dyDescent="0.3">
      <c r="A5" s="49" t="s">
        <v>266</v>
      </c>
      <c r="B5" s="51">
        <v>80000</v>
      </c>
      <c r="C5" s="51">
        <v>427470.77599999995</v>
      </c>
      <c r="D5" s="51">
        <v>105094.8</v>
      </c>
      <c r="E5" s="51">
        <v>612565.57599999988</v>
      </c>
    </row>
    <row r="6" spans="1:5" x14ac:dyDescent="0.3">
      <c r="A6" s="50" t="s">
        <v>263</v>
      </c>
      <c r="B6" s="51">
        <v>80000</v>
      </c>
      <c r="C6" s="51">
        <v>427470.77599999995</v>
      </c>
      <c r="D6" s="51">
        <v>105094.8</v>
      </c>
      <c r="E6" s="51">
        <v>612565.57599999988</v>
      </c>
    </row>
    <row r="7" spans="1:5" x14ac:dyDescent="0.3">
      <c r="A7" s="117">
        <v>1551</v>
      </c>
      <c r="B7" s="51">
        <v>80000</v>
      </c>
      <c r="C7" s="51"/>
      <c r="D7" s="51"/>
      <c r="E7" s="51">
        <v>80000</v>
      </c>
    </row>
    <row r="8" spans="1:5" x14ac:dyDescent="0.3">
      <c r="A8" s="117">
        <v>5002</v>
      </c>
      <c r="B8" s="51"/>
      <c r="C8" s="51">
        <v>316734.886696562</v>
      </c>
      <c r="D8" s="51"/>
      <c r="E8" s="51">
        <v>316734.886696562</v>
      </c>
    </row>
    <row r="9" spans="1:5" x14ac:dyDescent="0.3">
      <c r="A9" s="117">
        <v>5005</v>
      </c>
      <c r="B9" s="51"/>
      <c r="C9" s="51">
        <v>2750</v>
      </c>
      <c r="D9" s="51"/>
      <c r="E9" s="51">
        <v>2750</v>
      </c>
    </row>
    <row r="10" spans="1:5" x14ac:dyDescent="0.3">
      <c r="A10" s="117">
        <v>506</v>
      </c>
      <c r="B10" s="51"/>
      <c r="C10" s="51">
        <v>107985.88930343796</v>
      </c>
      <c r="D10" s="51"/>
      <c r="E10" s="51">
        <v>107985.88930343796</v>
      </c>
    </row>
    <row r="11" spans="1:5" x14ac:dyDescent="0.3">
      <c r="A11" s="117">
        <v>5500</v>
      </c>
      <c r="B11" s="51"/>
      <c r="C11" s="51"/>
      <c r="D11" s="51">
        <v>4404</v>
      </c>
      <c r="E11" s="51">
        <v>4404</v>
      </c>
    </row>
    <row r="12" spans="1:5" x14ac:dyDescent="0.3">
      <c r="A12" s="117">
        <v>5504</v>
      </c>
      <c r="B12" s="51"/>
      <c r="C12" s="51"/>
      <c r="D12" s="51">
        <v>2203</v>
      </c>
      <c r="E12" s="51">
        <v>2203</v>
      </c>
    </row>
    <row r="13" spans="1:5" x14ac:dyDescent="0.3">
      <c r="A13" s="117">
        <v>5511</v>
      </c>
      <c r="B13" s="51"/>
      <c r="C13" s="51"/>
      <c r="D13" s="51">
        <v>6308.8000000000011</v>
      </c>
      <c r="E13" s="51">
        <v>6308.8000000000011</v>
      </c>
    </row>
    <row r="14" spans="1:5" x14ac:dyDescent="0.3">
      <c r="A14" s="117">
        <v>5513</v>
      </c>
      <c r="B14" s="51"/>
      <c r="C14" s="51"/>
      <c r="D14" s="51">
        <v>2120</v>
      </c>
      <c r="E14" s="51">
        <v>2120</v>
      </c>
    </row>
    <row r="15" spans="1:5" x14ac:dyDescent="0.3">
      <c r="A15" s="117">
        <v>5514</v>
      </c>
      <c r="B15" s="51"/>
      <c r="C15" s="51"/>
      <c r="D15" s="51">
        <v>1720</v>
      </c>
      <c r="E15" s="51">
        <v>1720</v>
      </c>
    </row>
    <row r="16" spans="1:5" x14ac:dyDescent="0.3">
      <c r="A16" s="117">
        <v>5515</v>
      </c>
      <c r="B16" s="51"/>
      <c r="C16" s="51"/>
      <c r="D16" s="51">
        <v>400</v>
      </c>
      <c r="E16" s="51">
        <v>400</v>
      </c>
    </row>
    <row r="17" spans="1:5" x14ac:dyDescent="0.3">
      <c r="A17" s="117">
        <v>5521</v>
      </c>
      <c r="B17" s="51"/>
      <c r="C17" s="51"/>
      <c r="D17" s="51">
        <v>12250</v>
      </c>
      <c r="E17" s="51">
        <v>12250</v>
      </c>
    </row>
    <row r="18" spans="1:5" x14ac:dyDescent="0.3">
      <c r="A18" s="117">
        <v>5522</v>
      </c>
      <c r="B18" s="51"/>
      <c r="C18" s="51"/>
      <c r="D18" s="51">
        <v>1250</v>
      </c>
      <c r="E18" s="51">
        <v>1250</v>
      </c>
    </row>
    <row r="19" spans="1:5" x14ac:dyDescent="0.3">
      <c r="A19" s="117">
        <v>5524</v>
      </c>
      <c r="B19" s="51"/>
      <c r="C19" s="51"/>
      <c r="D19" s="51">
        <v>11416</v>
      </c>
      <c r="E19" s="51">
        <v>11416</v>
      </c>
    </row>
    <row r="20" spans="1:5" x14ac:dyDescent="0.3">
      <c r="A20" s="117">
        <v>5525</v>
      </c>
      <c r="B20" s="51"/>
      <c r="C20" s="51"/>
      <c r="D20" s="51">
        <v>4950</v>
      </c>
      <c r="E20" s="51">
        <v>4950</v>
      </c>
    </row>
    <row r="21" spans="1:5" x14ac:dyDescent="0.3">
      <c r="A21" s="117">
        <v>551100</v>
      </c>
      <c r="B21" s="51"/>
      <c r="C21" s="51"/>
      <c r="D21" s="51">
        <v>39960</v>
      </c>
      <c r="E21" s="51">
        <v>39960</v>
      </c>
    </row>
    <row r="22" spans="1:5" x14ac:dyDescent="0.3">
      <c r="A22" s="117">
        <v>551101</v>
      </c>
      <c r="B22" s="51"/>
      <c r="C22" s="51"/>
      <c r="D22" s="51">
        <v>8220</v>
      </c>
      <c r="E22" s="51">
        <v>8220</v>
      </c>
    </row>
    <row r="23" spans="1:5" x14ac:dyDescent="0.3">
      <c r="A23" s="117">
        <v>551102</v>
      </c>
      <c r="B23" s="51"/>
      <c r="C23" s="51"/>
      <c r="D23" s="51">
        <v>1920</v>
      </c>
      <c r="E23" s="51">
        <v>1920</v>
      </c>
    </row>
    <row r="24" spans="1:5" x14ac:dyDescent="0.3">
      <c r="A24" s="117">
        <v>551300</v>
      </c>
      <c r="B24" s="51"/>
      <c r="C24" s="51"/>
      <c r="D24" s="51">
        <v>3300</v>
      </c>
      <c r="E24" s="51">
        <v>3300</v>
      </c>
    </row>
    <row r="25" spans="1:5" x14ac:dyDescent="0.3">
      <c r="A25" s="117">
        <v>5513081</v>
      </c>
      <c r="B25" s="51"/>
      <c r="C25" s="51"/>
      <c r="D25" s="51">
        <v>4673</v>
      </c>
      <c r="E25" s="51">
        <v>4673</v>
      </c>
    </row>
    <row r="26" spans="1:5" x14ac:dyDescent="0.3">
      <c r="A26" s="49" t="s">
        <v>257</v>
      </c>
      <c r="B26" s="51"/>
      <c r="C26" s="51">
        <v>116497.70039999999</v>
      </c>
      <c r="D26" s="51">
        <v>62286.52</v>
      </c>
      <c r="E26" s="51">
        <v>178784.22039999996</v>
      </c>
    </row>
    <row r="27" spans="1:5" x14ac:dyDescent="0.3">
      <c r="A27" s="50" t="s">
        <v>256</v>
      </c>
      <c r="B27" s="51"/>
      <c r="C27" s="51">
        <v>116497.70039999999</v>
      </c>
      <c r="D27" s="51">
        <v>62286.52</v>
      </c>
      <c r="E27" s="51">
        <v>178784.22039999996</v>
      </c>
    </row>
    <row r="28" spans="1:5" x14ac:dyDescent="0.3">
      <c r="A28" s="117">
        <v>5002</v>
      </c>
      <c r="B28" s="51"/>
      <c r="C28" s="51">
        <v>85900.530941704026</v>
      </c>
      <c r="D28" s="51"/>
      <c r="E28" s="51">
        <v>85900.530941704026</v>
      </c>
    </row>
    <row r="29" spans="1:5" x14ac:dyDescent="0.3">
      <c r="A29" s="117">
        <v>5005</v>
      </c>
      <c r="B29" s="51"/>
      <c r="C29" s="51">
        <v>1168</v>
      </c>
      <c r="D29" s="51"/>
      <c r="E29" s="51">
        <v>1168</v>
      </c>
    </row>
    <row r="30" spans="1:5" x14ac:dyDescent="0.3">
      <c r="A30" s="117">
        <v>506</v>
      </c>
      <c r="B30" s="51"/>
      <c r="C30" s="51">
        <v>29429.169458295964</v>
      </c>
      <c r="D30" s="51"/>
      <c r="E30" s="51">
        <v>29429.169458295964</v>
      </c>
    </row>
    <row r="31" spans="1:5" x14ac:dyDescent="0.3">
      <c r="A31" s="117">
        <v>5500</v>
      </c>
      <c r="B31" s="51"/>
      <c r="C31" s="51"/>
      <c r="D31" s="51">
        <v>3500</v>
      </c>
      <c r="E31" s="51">
        <v>3500</v>
      </c>
    </row>
    <row r="32" spans="1:5" x14ac:dyDescent="0.3">
      <c r="A32" s="117">
        <v>5504</v>
      </c>
      <c r="B32" s="51"/>
      <c r="C32" s="51"/>
      <c r="D32" s="51">
        <v>488</v>
      </c>
      <c r="E32" s="51">
        <v>488</v>
      </c>
    </row>
    <row r="33" spans="1:5" x14ac:dyDescent="0.3">
      <c r="A33" s="117">
        <v>5511</v>
      </c>
      <c r="B33" s="51"/>
      <c r="C33" s="51"/>
      <c r="D33" s="51">
        <v>4229.32</v>
      </c>
      <c r="E33" s="51">
        <v>4229.32</v>
      </c>
    </row>
    <row r="34" spans="1:5" x14ac:dyDescent="0.3">
      <c r="A34" s="117">
        <v>5513</v>
      </c>
      <c r="B34" s="51"/>
      <c r="C34" s="51"/>
      <c r="D34" s="51">
        <v>350</v>
      </c>
      <c r="E34" s="51">
        <v>350</v>
      </c>
    </row>
    <row r="35" spans="1:5" x14ac:dyDescent="0.3">
      <c r="A35" s="117">
        <v>5514</v>
      </c>
      <c r="B35" s="51"/>
      <c r="C35" s="51"/>
      <c r="D35" s="51">
        <v>554</v>
      </c>
      <c r="E35" s="51">
        <v>554</v>
      </c>
    </row>
    <row r="36" spans="1:5" x14ac:dyDescent="0.3">
      <c r="A36" s="117">
        <v>5515</v>
      </c>
      <c r="B36" s="51"/>
      <c r="C36" s="51"/>
      <c r="D36" s="51">
        <v>300</v>
      </c>
      <c r="E36" s="51">
        <v>300</v>
      </c>
    </row>
    <row r="37" spans="1:5" x14ac:dyDescent="0.3">
      <c r="A37" s="117">
        <v>5521</v>
      </c>
      <c r="B37" s="51"/>
      <c r="C37" s="51"/>
      <c r="D37" s="51">
        <v>6712.68</v>
      </c>
      <c r="E37" s="51">
        <v>6712.68</v>
      </c>
    </row>
    <row r="38" spans="1:5" x14ac:dyDescent="0.3">
      <c r="A38" s="117">
        <v>5522</v>
      </c>
      <c r="B38" s="51"/>
      <c r="C38" s="51"/>
      <c r="D38" s="51">
        <v>150</v>
      </c>
      <c r="E38" s="51">
        <v>150</v>
      </c>
    </row>
    <row r="39" spans="1:5" x14ac:dyDescent="0.3">
      <c r="A39" s="117">
        <v>5524</v>
      </c>
      <c r="B39" s="51"/>
      <c r="C39" s="51"/>
      <c r="D39" s="51">
        <v>611</v>
      </c>
      <c r="E39" s="51">
        <v>611</v>
      </c>
    </row>
    <row r="40" spans="1:5" x14ac:dyDescent="0.3">
      <c r="A40" s="117">
        <v>5525</v>
      </c>
      <c r="B40" s="51"/>
      <c r="C40" s="51"/>
      <c r="D40" s="51">
        <v>337.84</v>
      </c>
      <c r="E40" s="51">
        <v>337.84</v>
      </c>
    </row>
    <row r="41" spans="1:5" x14ac:dyDescent="0.3">
      <c r="A41" s="117">
        <v>551100</v>
      </c>
      <c r="B41" s="51"/>
      <c r="C41" s="51"/>
      <c r="D41" s="51">
        <v>29970</v>
      </c>
      <c r="E41" s="51">
        <v>29970</v>
      </c>
    </row>
    <row r="42" spans="1:5" x14ac:dyDescent="0.3">
      <c r="A42" s="117">
        <v>551101</v>
      </c>
      <c r="B42" s="51"/>
      <c r="C42" s="51"/>
      <c r="D42" s="51">
        <v>3120</v>
      </c>
      <c r="E42" s="51">
        <v>3120</v>
      </c>
    </row>
    <row r="43" spans="1:5" x14ac:dyDescent="0.3">
      <c r="A43" s="117">
        <v>551102</v>
      </c>
      <c r="B43" s="51"/>
      <c r="C43" s="51"/>
      <c r="D43" s="51">
        <v>2387</v>
      </c>
      <c r="E43" s="51">
        <v>2387</v>
      </c>
    </row>
    <row r="44" spans="1:5" x14ac:dyDescent="0.3">
      <c r="A44" s="117">
        <v>551300</v>
      </c>
      <c r="B44" s="51"/>
      <c r="C44" s="51"/>
      <c r="D44" s="51">
        <v>4000</v>
      </c>
      <c r="E44" s="51">
        <v>4000</v>
      </c>
    </row>
    <row r="45" spans="1:5" x14ac:dyDescent="0.3">
      <c r="A45" s="117">
        <v>551307</v>
      </c>
      <c r="B45" s="51"/>
      <c r="C45" s="51"/>
      <c r="D45" s="51">
        <v>567</v>
      </c>
      <c r="E45" s="51">
        <v>567</v>
      </c>
    </row>
    <row r="46" spans="1:5" x14ac:dyDescent="0.3">
      <c r="A46" s="117">
        <v>551308</v>
      </c>
      <c r="B46" s="51"/>
      <c r="C46" s="51"/>
      <c r="D46" s="51">
        <v>4859.68</v>
      </c>
      <c r="E46" s="51">
        <v>4859.68</v>
      </c>
    </row>
    <row r="47" spans="1:5" x14ac:dyDescent="0.3">
      <c r="A47" s="117">
        <v>5513081</v>
      </c>
      <c r="B47" s="51"/>
      <c r="C47" s="51"/>
      <c r="D47" s="51">
        <v>150</v>
      </c>
      <c r="E47" s="51">
        <v>150</v>
      </c>
    </row>
    <row r="48" spans="1:5" x14ac:dyDescent="0.3">
      <c r="A48" s="49" t="s">
        <v>250</v>
      </c>
      <c r="B48" s="51">
        <v>50000</v>
      </c>
      <c r="C48" s="51">
        <v>1253458.68</v>
      </c>
      <c r="D48" s="51">
        <v>408321.05</v>
      </c>
      <c r="E48" s="51">
        <v>1711779.73</v>
      </c>
    </row>
    <row r="49" spans="1:5" x14ac:dyDescent="0.3">
      <c r="A49" s="50" t="s">
        <v>249</v>
      </c>
      <c r="B49" s="51">
        <v>50000</v>
      </c>
      <c r="C49" s="51">
        <v>1253458.68</v>
      </c>
      <c r="D49" s="51">
        <v>408321.05</v>
      </c>
      <c r="E49" s="51">
        <v>1711779.73</v>
      </c>
    </row>
    <row r="50" spans="1:5" x14ac:dyDescent="0.3">
      <c r="A50" s="117">
        <v>1551</v>
      </c>
      <c r="B50" s="51">
        <v>50000</v>
      </c>
      <c r="C50" s="51"/>
      <c r="D50" s="51"/>
      <c r="E50" s="51">
        <v>50000</v>
      </c>
    </row>
    <row r="51" spans="1:5" x14ac:dyDescent="0.3">
      <c r="A51" s="117">
        <v>5002</v>
      </c>
      <c r="B51" s="51"/>
      <c r="C51" s="51">
        <v>936815.16292974586</v>
      </c>
      <c r="D51" s="51"/>
      <c r="E51" s="51">
        <v>936815.16292974586</v>
      </c>
    </row>
    <row r="52" spans="1:5" x14ac:dyDescent="0.3">
      <c r="A52" s="117">
        <v>506</v>
      </c>
      <c r="B52" s="51"/>
      <c r="C52" s="51">
        <v>316643.51707025402</v>
      </c>
      <c r="D52" s="51"/>
      <c r="E52" s="51">
        <v>316643.51707025402</v>
      </c>
    </row>
    <row r="53" spans="1:5" x14ac:dyDescent="0.3">
      <c r="A53" s="117">
        <v>5500</v>
      </c>
      <c r="B53" s="51"/>
      <c r="C53" s="51"/>
      <c r="D53" s="51">
        <v>9034.2800000000007</v>
      </c>
      <c r="E53" s="51">
        <v>9034.2800000000007</v>
      </c>
    </row>
    <row r="54" spans="1:5" x14ac:dyDescent="0.3">
      <c r="A54" s="117">
        <v>5504</v>
      </c>
      <c r="B54" s="51"/>
      <c r="C54" s="51"/>
      <c r="D54" s="51">
        <v>7820</v>
      </c>
      <c r="E54" s="51">
        <v>7820</v>
      </c>
    </row>
    <row r="55" spans="1:5" x14ac:dyDescent="0.3">
      <c r="A55" s="117">
        <v>5511</v>
      </c>
      <c r="B55" s="51"/>
      <c r="C55" s="51"/>
      <c r="D55" s="51">
        <v>36248.839999999997</v>
      </c>
      <c r="E55" s="51">
        <v>36248.839999999997</v>
      </c>
    </row>
    <row r="56" spans="1:5" x14ac:dyDescent="0.3">
      <c r="A56" s="117">
        <v>5514</v>
      </c>
      <c r="B56" s="51"/>
      <c r="C56" s="51"/>
      <c r="D56" s="51">
        <v>15697.48</v>
      </c>
      <c r="E56" s="51">
        <v>15697.48</v>
      </c>
    </row>
    <row r="57" spans="1:5" x14ac:dyDescent="0.3">
      <c r="A57" s="117">
        <v>5515</v>
      </c>
      <c r="B57" s="51"/>
      <c r="C57" s="51"/>
      <c r="D57" s="51">
        <v>8200</v>
      </c>
      <c r="E57" s="51">
        <v>8200</v>
      </c>
    </row>
    <row r="58" spans="1:5" x14ac:dyDescent="0.3">
      <c r="A58" s="117">
        <v>5521</v>
      </c>
      <c r="B58" s="51"/>
      <c r="C58" s="51"/>
      <c r="D58" s="51">
        <v>74025</v>
      </c>
      <c r="E58" s="51">
        <v>74025</v>
      </c>
    </row>
    <row r="59" spans="1:5" x14ac:dyDescent="0.3">
      <c r="A59" s="117">
        <v>5522</v>
      </c>
      <c r="B59" s="51"/>
      <c r="C59" s="51"/>
      <c r="D59" s="51">
        <v>3000</v>
      </c>
      <c r="E59" s="51">
        <v>3000</v>
      </c>
    </row>
    <row r="60" spans="1:5" x14ac:dyDescent="0.3">
      <c r="A60" s="117">
        <v>5524</v>
      </c>
      <c r="B60" s="51"/>
      <c r="C60" s="51"/>
      <c r="D60" s="51">
        <v>82471</v>
      </c>
      <c r="E60" s="51">
        <v>82471</v>
      </c>
    </row>
    <row r="61" spans="1:5" x14ac:dyDescent="0.3">
      <c r="A61" s="117">
        <v>5525</v>
      </c>
      <c r="B61" s="51"/>
      <c r="C61" s="51"/>
      <c r="D61" s="51">
        <v>11000</v>
      </c>
      <c r="E61" s="51">
        <v>11000</v>
      </c>
    </row>
    <row r="62" spans="1:5" x14ac:dyDescent="0.3">
      <c r="A62" s="117">
        <v>5532</v>
      </c>
      <c r="B62" s="51"/>
      <c r="C62" s="51"/>
      <c r="D62" s="51">
        <v>1000</v>
      </c>
      <c r="E62" s="51">
        <v>1000</v>
      </c>
    </row>
    <row r="63" spans="1:5" x14ac:dyDescent="0.3">
      <c r="A63" s="117">
        <v>551100</v>
      </c>
      <c r="B63" s="51"/>
      <c r="C63" s="51"/>
      <c r="D63" s="51">
        <v>105000</v>
      </c>
      <c r="E63" s="51">
        <v>105000</v>
      </c>
    </row>
    <row r="64" spans="1:5" x14ac:dyDescent="0.3">
      <c r="A64" s="117">
        <v>551101</v>
      </c>
      <c r="B64" s="51"/>
      <c r="C64" s="51"/>
      <c r="D64" s="51">
        <v>25200</v>
      </c>
      <c r="E64" s="51">
        <v>25200</v>
      </c>
    </row>
    <row r="65" spans="1:5" x14ac:dyDescent="0.3">
      <c r="A65" s="117">
        <v>551102</v>
      </c>
      <c r="B65" s="51"/>
      <c r="C65" s="51"/>
      <c r="D65" s="51">
        <v>14080</v>
      </c>
      <c r="E65" s="51">
        <v>14080</v>
      </c>
    </row>
    <row r="66" spans="1:5" x14ac:dyDescent="0.3">
      <c r="A66" s="117">
        <v>551300</v>
      </c>
      <c r="B66" s="51"/>
      <c r="C66" s="51"/>
      <c r="D66" s="51">
        <v>4650</v>
      </c>
      <c r="E66" s="51">
        <v>4650</v>
      </c>
    </row>
    <row r="67" spans="1:5" x14ac:dyDescent="0.3">
      <c r="A67" s="117">
        <v>551307</v>
      </c>
      <c r="B67" s="51"/>
      <c r="C67" s="51"/>
      <c r="D67" s="51">
        <v>300</v>
      </c>
      <c r="E67" s="51">
        <v>300</v>
      </c>
    </row>
    <row r="68" spans="1:5" x14ac:dyDescent="0.3">
      <c r="A68" s="117">
        <v>551308</v>
      </c>
      <c r="B68" s="51"/>
      <c r="C68" s="51"/>
      <c r="D68" s="51">
        <v>8504.4500000000007</v>
      </c>
      <c r="E68" s="51">
        <v>8504.4500000000007</v>
      </c>
    </row>
    <row r="69" spans="1:5" x14ac:dyDescent="0.3">
      <c r="A69" s="117">
        <v>5513081</v>
      </c>
      <c r="B69" s="51"/>
      <c r="C69" s="51"/>
      <c r="D69" s="51">
        <v>2090</v>
      </c>
      <c r="E69" s="51">
        <v>2090</v>
      </c>
    </row>
    <row r="70" spans="1:5" x14ac:dyDescent="0.3">
      <c r="A70" s="49" t="s">
        <v>360</v>
      </c>
      <c r="B70" s="51"/>
      <c r="C70" s="51"/>
      <c r="D70" s="51">
        <v>194378.88</v>
      </c>
      <c r="E70" s="51">
        <v>194378.88</v>
      </c>
    </row>
    <row r="71" spans="1:5" x14ac:dyDescent="0.3">
      <c r="A71" s="50" t="s">
        <v>361</v>
      </c>
      <c r="B71" s="51"/>
      <c r="C71" s="51"/>
      <c r="D71" s="51">
        <v>194378.88</v>
      </c>
      <c r="E71" s="51">
        <v>194378.88</v>
      </c>
    </row>
    <row r="72" spans="1:5" x14ac:dyDescent="0.3">
      <c r="A72" s="117">
        <v>5524</v>
      </c>
      <c r="B72" s="51"/>
      <c r="C72" s="51"/>
      <c r="D72" s="51">
        <v>194378.88</v>
      </c>
      <c r="E72" s="51">
        <v>194378.88</v>
      </c>
    </row>
    <row r="73" spans="1:5" x14ac:dyDescent="0.3">
      <c r="A73" s="49" t="s">
        <v>279</v>
      </c>
      <c r="B73" s="51">
        <v>187310.64</v>
      </c>
      <c r="C73" s="51">
        <v>492143.01399999997</v>
      </c>
      <c r="D73" s="51">
        <v>78517.36</v>
      </c>
      <c r="E73" s="51">
        <v>757971.01400000008</v>
      </c>
    </row>
    <row r="74" spans="1:5" x14ac:dyDescent="0.3">
      <c r="A74" s="50" t="s">
        <v>1566</v>
      </c>
      <c r="B74" s="51">
        <v>187310.64</v>
      </c>
      <c r="C74" s="51">
        <v>492143.01399999997</v>
      </c>
      <c r="D74" s="51">
        <v>78517.36</v>
      </c>
      <c r="E74" s="51">
        <v>757971.01400000008</v>
      </c>
    </row>
    <row r="75" spans="1:5" x14ac:dyDescent="0.3">
      <c r="A75" s="117">
        <v>1551</v>
      </c>
      <c r="B75" s="51">
        <v>187310.64</v>
      </c>
      <c r="C75" s="51"/>
      <c r="D75" s="51"/>
      <c r="E75" s="51">
        <v>187310.64</v>
      </c>
    </row>
    <row r="76" spans="1:5" x14ac:dyDescent="0.3">
      <c r="A76" s="117">
        <v>5002</v>
      </c>
      <c r="B76" s="51"/>
      <c r="C76" s="51">
        <v>367819.89387144992</v>
      </c>
      <c r="D76" s="51"/>
      <c r="E76" s="51">
        <v>367819.89387144992</v>
      </c>
    </row>
    <row r="77" spans="1:5" x14ac:dyDescent="0.3">
      <c r="A77" s="117">
        <v>506</v>
      </c>
      <c r="B77" s="51"/>
      <c r="C77" s="51">
        <v>124323.12012855007</v>
      </c>
      <c r="D77" s="51"/>
      <c r="E77" s="51">
        <v>124323.12012855007</v>
      </c>
    </row>
    <row r="78" spans="1:5" x14ac:dyDescent="0.3">
      <c r="A78" s="117">
        <v>5500</v>
      </c>
      <c r="B78" s="51"/>
      <c r="C78" s="51"/>
      <c r="D78" s="51">
        <v>2064.48</v>
      </c>
      <c r="E78" s="51">
        <v>2064.48</v>
      </c>
    </row>
    <row r="79" spans="1:5" x14ac:dyDescent="0.3">
      <c r="A79" s="117">
        <v>5504</v>
      </c>
      <c r="B79" s="51"/>
      <c r="C79" s="51"/>
      <c r="D79" s="51">
        <v>3725</v>
      </c>
      <c r="E79" s="51">
        <v>3725</v>
      </c>
    </row>
    <row r="80" spans="1:5" x14ac:dyDescent="0.3">
      <c r="A80" s="117">
        <v>5511</v>
      </c>
      <c r="B80" s="51"/>
      <c r="C80" s="51"/>
      <c r="D80" s="51">
        <v>3729.8799999999997</v>
      </c>
      <c r="E80" s="51">
        <v>3729.8799999999997</v>
      </c>
    </row>
    <row r="81" spans="1:5" x14ac:dyDescent="0.3">
      <c r="A81" s="117">
        <v>5513</v>
      </c>
      <c r="B81" s="51"/>
      <c r="C81" s="51"/>
      <c r="D81" s="51">
        <v>695</v>
      </c>
      <c r="E81" s="51">
        <v>695</v>
      </c>
    </row>
    <row r="82" spans="1:5" x14ac:dyDescent="0.3">
      <c r="A82" s="117">
        <v>5514</v>
      </c>
      <c r="B82" s="51"/>
      <c r="C82" s="51"/>
      <c r="D82" s="51">
        <v>2480</v>
      </c>
      <c r="E82" s="51">
        <v>2480</v>
      </c>
    </row>
    <row r="83" spans="1:5" x14ac:dyDescent="0.3">
      <c r="A83" s="117">
        <v>5515</v>
      </c>
      <c r="B83" s="51"/>
      <c r="C83" s="51"/>
      <c r="D83" s="51">
        <v>3000</v>
      </c>
      <c r="E83" s="51">
        <v>3000</v>
      </c>
    </row>
    <row r="84" spans="1:5" x14ac:dyDescent="0.3">
      <c r="A84" s="117">
        <v>5521</v>
      </c>
      <c r="B84" s="51"/>
      <c r="C84" s="51"/>
      <c r="D84" s="51">
        <v>19600</v>
      </c>
      <c r="E84" s="51">
        <v>19600</v>
      </c>
    </row>
    <row r="85" spans="1:5" x14ac:dyDescent="0.3">
      <c r="A85" s="117">
        <v>5522</v>
      </c>
      <c r="B85" s="51"/>
      <c r="C85" s="51"/>
      <c r="D85" s="51">
        <v>1500</v>
      </c>
      <c r="E85" s="51">
        <v>1500</v>
      </c>
    </row>
    <row r="86" spans="1:5" x14ac:dyDescent="0.3">
      <c r="A86" s="117">
        <v>5524</v>
      </c>
      <c r="B86" s="51"/>
      <c r="C86" s="51"/>
      <c r="D86" s="51">
        <v>11410</v>
      </c>
      <c r="E86" s="51">
        <v>11410</v>
      </c>
    </row>
    <row r="87" spans="1:5" x14ac:dyDescent="0.3">
      <c r="A87" s="117">
        <v>5525</v>
      </c>
      <c r="B87" s="51"/>
      <c r="C87" s="51"/>
      <c r="D87" s="51">
        <v>250</v>
      </c>
      <c r="E87" s="51">
        <v>250</v>
      </c>
    </row>
    <row r="88" spans="1:5" x14ac:dyDescent="0.3">
      <c r="A88" s="117">
        <v>551100</v>
      </c>
      <c r="B88" s="51"/>
      <c r="C88" s="51"/>
      <c r="D88" s="51">
        <v>18000</v>
      </c>
      <c r="E88" s="51">
        <v>18000</v>
      </c>
    </row>
    <row r="89" spans="1:5" x14ac:dyDescent="0.3">
      <c r="A89" s="117">
        <v>551101</v>
      </c>
      <c r="B89" s="51"/>
      <c r="C89" s="51"/>
      <c r="D89" s="51">
        <v>5640</v>
      </c>
      <c r="E89" s="51">
        <v>5640</v>
      </c>
    </row>
    <row r="90" spans="1:5" x14ac:dyDescent="0.3">
      <c r="A90" s="117">
        <v>551102</v>
      </c>
      <c r="B90" s="51"/>
      <c r="C90" s="51"/>
      <c r="D90" s="51">
        <v>1870</v>
      </c>
      <c r="E90" s="51">
        <v>1870</v>
      </c>
    </row>
    <row r="91" spans="1:5" x14ac:dyDescent="0.3">
      <c r="A91" s="117">
        <v>551300</v>
      </c>
      <c r="B91" s="51"/>
      <c r="C91" s="51"/>
      <c r="D91" s="51">
        <v>2250</v>
      </c>
      <c r="E91" s="51">
        <v>2250</v>
      </c>
    </row>
    <row r="92" spans="1:5" x14ac:dyDescent="0.3">
      <c r="A92" s="117">
        <v>551307</v>
      </c>
      <c r="B92" s="51"/>
      <c r="C92" s="51"/>
      <c r="D92" s="51">
        <v>455</v>
      </c>
      <c r="E92" s="51">
        <v>455</v>
      </c>
    </row>
    <row r="93" spans="1:5" x14ac:dyDescent="0.3">
      <c r="A93" s="117">
        <v>5513081</v>
      </c>
      <c r="B93" s="51"/>
      <c r="C93" s="51"/>
      <c r="D93" s="51">
        <v>1848</v>
      </c>
      <c r="E93" s="51">
        <v>1848</v>
      </c>
    </row>
    <row r="94" spans="1:5" x14ac:dyDescent="0.3">
      <c r="A94" s="49" t="s">
        <v>358</v>
      </c>
      <c r="B94" s="51"/>
      <c r="C94" s="51"/>
      <c r="D94" s="51">
        <v>44124</v>
      </c>
      <c r="E94" s="51">
        <v>44124</v>
      </c>
    </row>
    <row r="95" spans="1:5" x14ac:dyDescent="0.3">
      <c r="A95" s="50" t="s">
        <v>357</v>
      </c>
      <c r="B95" s="51"/>
      <c r="C95" s="51"/>
      <c r="D95" s="51">
        <v>44124</v>
      </c>
      <c r="E95" s="51">
        <v>44124</v>
      </c>
    </row>
    <row r="96" spans="1:5" x14ac:dyDescent="0.3">
      <c r="A96" s="117">
        <v>5524</v>
      </c>
      <c r="B96" s="51"/>
      <c r="C96" s="51"/>
      <c r="D96" s="51">
        <v>44124</v>
      </c>
      <c r="E96" s="51">
        <v>44124</v>
      </c>
    </row>
    <row r="97" spans="1:5" x14ac:dyDescent="0.3">
      <c r="A97" s="49" t="s">
        <v>1425</v>
      </c>
      <c r="B97" s="51">
        <v>317310.64</v>
      </c>
      <c r="C97" s="51">
        <v>2289570.1704000002</v>
      </c>
      <c r="D97" s="51">
        <v>892722.60999999987</v>
      </c>
      <c r="E97" s="51">
        <v>3499603.4203999997</v>
      </c>
    </row>
  </sheetData>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55"/>
  <sheetViews>
    <sheetView showOutlineSymbols="0" showWhiteSpace="0" topLeftCell="B1" zoomScale="85" zoomScaleNormal="85" workbookViewId="0">
      <pane ySplit="1" topLeftCell="A2" activePane="bottomLeft" state="frozenSplit"/>
      <selection pane="bottomLeft" activeCell="T1549" sqref="T1549"/>
    </sheetView>
  </sheetViews>
  <sheetFormatPr defaultColWidth="9.109375" defaultRowHeight="13.8" x14ac:dyDescent="0.25"/>
  <cols>
    <col min="1" max="1" width="64.5546875" style="41" customWidth="1"/>
    <col min="2" max="2" width="17.109375" style="41" bestFit="1" customWidth="1"/>
    <col min="3" max="3" width="16" style="41" customWidth="1"/>
    <col min="4" max="4" width="15.88671875" style="41" customWidth="1"/>
    <col min="5" max="5" width="23.33203125" style="41" customWidth="1"/>
    <col min="6" max="6" width="12.44140625" style="41" customWidth="1"/>
    <col min="7" max="7" width="20.109375" style="41" customWidth="1"/>
    <col min="8" max="8" width="7.6640625" style="41" customWidth="1"/>
    <col min="9" max="9" width="7.109375" style="41" customWidth="1"/>
    <col min="10" max="10" width="5.33203125" style="41" customWidth="1"/>
    <col min="11" max="11" width="25.6640625" style="41" customWidth="1"/>
    <col min="12" max="12" width="10.109375" style="41" customWidth="1"/>
    <col min="13" max="13" width="6.44140625" style="68" customWidth="1"/>
    <col min="14" max="14" width="49.88671875" style="41" bestFit="1" customWidth="1"/>
    <col min="15" max="15" width="9.88671875" style="41" customWidth="1"/>
    <col min="16" max="16" width="14" style="41" customWidth="1"/>
    <col min="17" max="17" width="13.88671875" style="41" customWidth="1"/>
    <col min="18" max="18" width="23.88671875" style="41" customWidth="1"/>
    <col min="19" max="19" width="14.44140625" style="41" bestFit="1" customWidth="1"/>
    <col min="20" max="20" width="14.44140625" style="68" customWidth="1"/>
    <col min="21" max="21" width="12.6640625" style="41" customWidth="1"/>
    <col min="22" max="16384" width="9.109375" style="41"/>
  </cols>
  <sheetData>
    <row r="1" spans="1:21" x14ac:dyDescent="0.25">
      <c r="A1" s="41" t="s">
        <v>777</v>
      </c>
      <c r="B1" s="41" t="s">
        <v>776</v>
      </c>
      <c r="C1" s="41" t="s">
        <v>775</v>
      </c>
      <c r="D1" s="41" t="s">
        <v>957</v>
      </c>
      <c r="E1" s="41" t="s">
        <v>780</v>
      </c>
      <c r="F1" s="41" t="s">
        <v>774</v>
      </c>
      <c r="G1" s="41" t="s">
        <v>781</v>
      </c>
      <c r="H1" s="41" t="s">
        <v>773</v>
      </c>
      <c r="I1" s="41" t="s">
        <v>778</v>
      </c>
      <c r="J1" s="41" t="s">
        <v>772</v>
      </c>
      <c r="K1" s="41" t="s">
        <v>782</v>
      </c>
      <c r="L1" s="41" t="s">
        <v>783</v>
      </c>
      <c r="M1" s="68" t="s">
        <v>969</v>
      </c>
      <c r="N1" s="41" t="s">
        <v>786</v>
      </c>
      <c r="O1" s="41" t="s">
        <v>771</v>
      </c>
      <c r="P1" s="41" t="s">
        <v>779</v>
      </c>
      <c r="Q1" s="41" t="s">
        <v>787</v>
      </c>
      <c r="R1" s="42" t="s">
        <v>785</v>
      </c>
      <c r="S1" s="42" t="s">
        <v>986</v>
      </c>
      <c r="T1" s="42" t="s">
        <v>991</v>
      </c>
      <c r="U1" s="42" t="s">
        <v>987</v>
      </c>
    </row>
    <row r="2" spans="1:21" ht="14.25" customHeight="1" x14ac:dyDescent="0.25">
      <c r="A2" s="41" t="s">
        <v>902</v>
      </c>
      <c r="B2" s="41">
        <v>300000</v>
      </c>
      <c r="C2" s="52">
        <v>1502</v>
      </c>
      <c r="D2" s="41" t="str">
        <f>LEFT(Table1[[#This Row],[Eelarvekonto]],2)</f>
        <v>15</v>
      </c>
      <c r="E2" s="41" t="str">
        <f>VLOOKUP(Table1[[#This Row],[Eelarvekonto]],Table5[[Konto]:[Konto nimetus]],2,FALSE)</f>
        <v>Osalused tütar- ja sidusettevõtjates</v>
      </c>
      <c r="F2" s="41" t="s">
        <v>956</v>
      </c>
      <c r="G2" s="41" t="s">
        <v>891</v>
      </c>
      <c r="J2" s="41" t="s">
        <v>409</v>
      </c>
      <c r="K2" s="41" t="s">
        <v>408</v>
      </c>
      <c r="L2" s="58" t="s">
        <v>1165</v>
      </c>
      <c r="M2" s="58" t="str">
        <f>LEFT(Table1[[#This Row],[Tegevusala kood]],2)</f>
        <v>06</v>
      </c>
      <c r="N2" s="41" t="str">
        <f>VLOOKUP(Table1[[#This Row],[Tegevusala kood]],Table4[[Tegevusala kood]:[Tegevusala alanimetus]],2,FALSE)</f>
        <v>Veevarustus</v>
      </c>
      <c r="O2" s="41" t="s">
        <v>1</v>
      </c>
      <c r="P2" s="41" t="s">
        <v>1</v>
      </c>
      <c r="Q2" s="41" t="str">
        <f>VLOOKUP(Table1[[#This Row],[Eelarvekonto]],Table5[[Konto]:[Kontode alanimetus]],5,FALSE)</f>
        <v>Osaluste soetus (-)</v>
      </c>
      <c r="R2" s="42" t="str">
        <f>VLOOKUP(Table1[[#This Row],[Tegevusala kood]],Table4[[Tegevusala kood]:[Tegevusala alanimetus]],4,FALSE)</f>
        <v>Veevarustus</v>
      </c>
      <c r="S2" s="53"/>
      <c r="T2" s="53"/>
      <c r="U2" s="53">
        <f>Table1[[#This Row],[Summa]]+Table1[[#This Row],[I Muudatus]]+Table1[[#This Row],[II Muudatus]]</f>
        <v>300000</v>
      </c>
    </row>
    <row r="3" spans="1:21" ht="14.25" customHeight="1" x14ac:dyDescent="0.25">
      <c r="A3" s="41" t="s">
        <v>1003</v>
      </c>
      <c r="B3" s="41">
        <v>41480.400000000001</v>
      </c>
      <c r="C3" s="52">
        <v>1551</v>
      </c>
      <c r="D3" s="41" t="str">
        <f>LEFT(Table1[[#This Row],[Eelarvekonto]],2)</f>
        <v>15</v>
      </c>
      <c r="E3" s="41" t="str">
        <f>VLOOKUP(Table1[[#This Row],[Eelarvekonto]],Table5[[Konto]:[Konto nimetus]],2,FALSE)</f>
        <v>Hooned ja rajatised</v>
      </c>
      <c r="F3" s="41" t="s">
        <v>956</v>
      </c>
      <c r="G3" s="41" t="s">
        <v>891</v>
      </c>
      <c r="J3" s="41" t="s">
        <v>726</v>
      </c>
      <c r="K3" s="41" t="s">
        <v>703</v>
      </c>
      <c r="L3" s="58" t="s">
        <v>289</v>
      </c>
      <c r="M3" s="58" t="str">
        <f>LEFT(Table1[[#This Row],[Tegevusala kood]],2)</f>
        <v>09</v>
      </c>
      <c r="N3" s="41" t="str">
        <f>VLOOKUP(Table1[[#This Row],[Tegevusala kood]],Table4[[Tegevusala kood]:[Tegevusala alanimetus]],2,FALSE)</f>
        <v>Laekvere Lasteaed</v>
      </c>
      <c r="O3" s="41" t="s">
        <v>1</v>
      </c>
      <c r="P3" s="41" t="s">
        <v>1</v>
      </c>
      <c r="Q3" s="41" t="str">
        <f>VLOOKUP(Table1[[#This Row],[Eelarvekonto]],Table5[[Konto]:[Kontode alanimetus]],5,FALSE)</f>
        <v>Põhivara soetus (-)</v>
      </c>
      <c r="R3" s="42" t="str">
        <f>VLOOKUP(Table1[[#This Row],[Tegevusala kood]],Table4[[Tegevusala kood]:[Tegevusala alanimetus]],4,FALSE)</f>
        <v>Alusharidus</v>
      </c>
      <c r="S3" s="53"/>
      <c r="T3" s="53"/>
      <c r="U3" s="53">
        <f>Table1[[#This Row],[Summa]]+Table1[[#This Row],[I Muudatus]]+Table1[[#This Row],[II Muudatus]]</f>
        <v>41480.400000000001</v>
      </c>
    </row>
    <row r="4" spans="1:21" ht="14.25" hidden="1" customHeight="1" x14ac:dyDescent="0.25">
      <c r="A4" s="41" t="s">
        <v>1004</v>
      </c>
      <c r="B4" s="41">
        <v>8000</v>
      </c>
      <c r="C4" s="52">
        <v>4500</v>
      </c>
      <c r="D4" s="41" t="str">
        <f>LEFT(Table1[[#This Row],[Eelarvekonto]],2)</f>
        <v>45</v>
      </c>
      <c r="E4" s="41" t="str">
        <f>VLOOKUP(Table1[[#This Row],[Eelarvekonto]],Table5[[Konto]:[Konto nimetus]],2,FALSE)</f>
        <v>Antud sihtfinantseerimine tegevuskuludeks</v>
      </c>
      <c r="F4" s="41" t="s">
        <v>139</v>
      </c>
      <c r="G4" s="41" t="s">
        <v>24</v>
      </c>
      <c r="J4" s="41" t="s">
        <v>212</v>
      </c>
      <c r="K4" s="41" t="s">
        <v>210</v>
      </c>
      <c r="L4" s="58" t="s">
        <v>440</v>
      </c>
      <c r="M4" s="58" t="str">
        <f>LEFT(Table1[[#This Row],[Tegevusala kood]],2)</f>
        <v>08</v>
      </c>
      <c r="N4" s="41" t="str">
        <f>VLOOKUP(Table1[[#This Row],[Tegevusala kood]],Table4[[Tegevusala kood]:[Tegevusala alanimetus]],2,FALSE)</f>
        <v>Kultuuri projektide kaasfinantseerimised</v>
      </c>
      <c r="O4" s="41" t="s">
        <v>1</v>
      </c>
      <c r="P4" s="41" t="s">
        <v>1</v>
      </c>
      <c r="Q4" s="41" t="str">
        <f>VLOOKUP(Table1[[#This Row],[Eelarvekonto]],Table5[[Konto]:[Kontode alanimetus]],5,FALSE)</f>
        <v>Sihtotstarbelised toetused tegevuskuludeks</v>
      </c>
      <c r="R4" s="42" t="str">
        <f>VLOOKUP(Table1[[#This Row],[Tegevusala kood]],Table4[[Tegevusala kood]:[Tegevusala alanimetus]],4,FALSE)</f>
        <v>Vaba aja üritused</v>
      </c>
      <c r="S4" s="53"/>
      <c r="T4" s="53"/>
      <c r="U4" s="53">
        <f>Table1[[#This Row],[Summa]]+Table1[[#This Row],[I Muudatus]]+Table1[[#This Row],[II Muudatus]]</f>
        <v>8000</v>
      </c>
    </row>
    <row r="5" spans="1:21" ht="14.25" hidden="1" customHeight="1" x14ac:dyDescent="0.25">
      <c r="A5" s="41" t="s">
        <v>456</v>
      </c>
      <c r="B5" s="41">
        <v>7848</v>
      </c>
      <c r="C5" s="52">
        <v>5002</v>
      </c>
      <c r="D5" s="52" t="str">
        <f>LEFT(Table1[[#This Row],[Eelarvekonto]],2)</f>
        <v>50</v>
      </c>
      <c r="E5" s="41" t="str">
        <f>VLOOKUP(Table1[[#This Row],[Eelarvekonto]],Table5[[Konto]:[Konto nimetus]],2,FALSE)</f>
        <v>Töötajate töötasud</v>
      </c>
      <c r="F5" s="41" t="s">
        <v>139</v>
      </c>
      <c r="G5" s="41" t="s">
        <v>24</v>
      </c>
      <c r="J5" s="41" t="s">
        <v>226</v>
      </c>
      <c r="K5" s="41" t="s">
        <v>224</v>
      </c>
      <c r="L5" s="58" t="s">
        <v>310</v>
      </c>
      <c r="M5" s="58" t="str">
        <f>LEFT(Table1[[#This Row],[Tegevusala kood]],2)</f>
        <v>06</v>
      </c>
      <c r="N5" s="41" t="str">
        <f>VLOOKUP(Table1[[#This Row],[Tegevusala kood]],Table4[[Tegevusala kood]:[Tegevusala alanimetus]],2,FALSE)</f>
        <v>Ulvi, Vinni-Pajusti teeninduspiirkond</v>
      </c>
      <c r="O5" s="41" t="s">
        <v>1</v>
      </c>
      <c r="P5" s="41" t="s">
        <v>1</v>
      </c>
      <c r="Q5" s="41" t="str">
        <f>VLOOKUP(Table1[[#This Row],[Eelarvekonto]],Table5[[Konto]:[Kontode alanimetus]],5,FALSE)</f>
        <v>Tööjõukulud</v>
      </c>
      <c r="R5" s="42" t="str">
        <f>VLOOKUP(Table1[[#This Row],[Tegevusala kood]],Table4[[Tegevusala kood]:[Tegevusala alanimetus]],4,FALSE)</f>
        <v>Muu elamu- ja kommunaalmajanduse tegevus</v>
      </c>
      <c r="S5" s="53"/>
      <c r="T5" s="53"/>
      <c r="U5" s="53">
        <f>Table1[[#This Row],[Summa]]+Table1[[#This Row],[I Muudatus]]+Table1[[#This Row],[II Muudatus]]</f>
        <v>7848</v>
      </c>
    </row>
    <row r="6" spans="1:21" ht="14.25" hidden="1" customHeight="1" x14ac:dyDescent="0.25">
      <c r="A6" s="41" t="s">
        <v>158</v>
      </c>
      <c r="B6" s="41">
        <v>2652.62</v>
      </c>
      <c r="C6" s="52">
        <v>506</v>
      </c>
      <c r="D6" s="52" t="str">
        <f>LEFT(Table1[[#This Row],[Eelarvekonto]],2)</f>
        <v>50</v>
      </c>
      <c r="E6" s="41" t="str">
        <f>VLOOKUP(Table1[[#This Row],[Eelarvekonto]],Table5[[Konto]:[Konto nimetus]],2,FALSE)</f>
        <v>Tööjõukuludega kaasnevad maksud ja sotsiaalkindlustusmaksed</v>
      </c>
      <c r="F6" s="41" t="s">
        <v>139</v>
      </c>
      <c r="G6" s="41" t="s">
        <v>24</v>
      </c>
      <c r="J6" s="41" t="s">
        <v>226</v>
      </c>
      <c r="K6" s="41" t="s">
        <v>224</v>
      </c>
      <c r="L6" s="58" t="s">
        <v>310</v>
      </c>
      <c r="M6" s="58" t="str">
        <f>LEFT(Table1[[#This Row],[Tegevusala kood]],2)</f>
        <v>06</v>
      </c>
      <c r="N6" s="41" t="str">
        <f>VLOOKUP(Table1[[#This Row],[Tegevusala kood]],Table4[[Tegevusala kood]:[Tegevusala alanimetus]],2,FALSE)</f>
        <v>Ulvi, Vinni-Pajusti teeninduspiirkond</v>
      </c>
      <c r="O6" s="41" t="s">
        <v>1</v>
      </c>
      <c r="P6" s="41" t="s">
        <v>1</v>
      </c>
      <c r="Q6" s="41" t="str">
        <f>VLOOKUP(Table1[[#This Row],[Eelarvekonto]],Table5[[Konto]:[Kontode alanimetus]],5,FALSE)</f>
        <v>Tööjõukulud</v>
      </c>
      <c r="R6" s="42" t="str">
        <f>VLOOKUP(Table1[[#This Row],[Tegevusala kood]],Table4[[Tegevusala kood]:[Tegevusala alanimetus]],4,FALSE)</f>
        <v>Muu elamu- ja kommunaalmajanduse tegevus</v>
      </c>
      <c r="S6" s="53"/>
      <c r="T6" s="53"/>
      <c r="U6" s="53">
        <f>Table1[[#This Row],[Summa]]+Table1[[#This Row],[I Muudatus]]+Table1[[#This Row],[II Muudatus]]</f>
        <v>2652.62</v>
      </c>
    </row>
    <row r="7" spans="1:21" ht="14.25" hidden="1" customHeight="1" x14ac:dyDescent="0.25">
      <c r="A7" s="41" t="s">
        <v>196</v>
      </c>
      <c r="B7" s="41">
        <v>1800</v>
      </c>
      <c r="C7" s="52">
        <v>551100</v>
      </c>
      <c r="D7" s="52" t="str">
        <f>LEFT(Table1[[#This Row],[Eelarvekonto]],2)</f>
        <v>55</v>
      </c>
      <c r="E7" s="41" t="str">
        <f>VLOOKUP(Table1[[#This Row],[Eelarvekonto]],Table5[[Konto]:[Konto nimetus]],2,FALSE)</f>
        <v>Küte ja soojusenergia</v>
      </c>
      <c r="F7" s="41" t="s">
        <v>139</v>
      </c>
      <c r="G7" s="41" t="s">
        <v>24</v>
      </c>
      <c r="J7" s="41" t="s">
        <v>226</v>
      </c>
      <c r="K7" s="41" t="s">
        <v>224</v>
      </c>
      <c r="L7" s="58" t="s">
        <v>310</v>
      </c>
      <c r="M7" s="58" t="str">
        <f>LEFT(Table1[[#This Row],[Tegevusala kood]],2)</f>
        <v>06</v>
      </c>
      <c r="N7" s="41" t="str">
        <f>VLOOKUP(Table1[[#This Row],[Tegevusala kood]],Table4[[Tegevusala kood]:[Tegevusala alanimetus]],2,FALSE)</f>
        <v>Ulvi, Vinni-Pajusti teeninduspiirkond</v>
      </c>
      <c r="O7" s="41" t="s">
        <v>1</v>
      </c>
      <c r="P7" s="41" t="s">
        <v>1</v>
      </c>
      <c r="Q7" s="41" t="str">
        <f>VLOOKUP(Table1[[#This Row],[Eelarvekonto]],Table5[[Konto]:[Kontode alanimetus]],5,FALSE)</f>
        <v>Majandamiskulud</v>
      </c>
      <c r="R7" s="42" t="str">
        <f>VLOOKUP(Table1[[#This Row],[Tegevusala kood]],Table4[[Tegevusala kood]:[Tegevusala alanimetus]],4,FALSE)</f>
        <v>Muu elamu- ja kommunaalmajanduse tegevus</v>
      </c>
      <c r="S7" s="53"/>
      <c r="T7" s="53"/>
      <c r="U7" s="53">
        <f>Table1[[#This Row],[Summa]]+Table1[[#This Row],[I Muudatus]]+Table1[[#This Row],[II Muudatus]]</f>
        <v>1800</v>
      </c>
    </row>
    <row r="8" spans="1:21" ht="14.25" hidden="1" customHeight="1" x14ac:dyDescent="0.25">
      <c r="A8" s="41" t="s">
        <v>149</v>
      </c>
      <c r="B8" s="41">
        <v>1320</v>
      </c>
      <c r="C8" s="52">
        <v>551101</v>
      </c>
      <c r="D8" s="52" t="str">
        <f>LEFT(Table1[[#This Row],[Eelarvekonto]],2)</f>
        <v>55</v>
      </c>
      <c r="E8" s="41" t="str">
        <f>VLOOKUP(Table1[[#This Row],[Eelarvekonto]],Table5[[Konto]:[Konto nimetus]],2,FALSE)</f>
        <v>Elekter</v>
      </c>
      <c r="F8" s="41" t="s">
        <v>139</v>
      </c>
      <c r="G8" s="41" t="s">
        <v>24</v>
      </c>
      <c r="J8" s="41" t="s">
        <v>226</v>
      </c>
      <c r="K8" s="41" t="s">
        <v>224</v>
      </c>
      <c r="L8" s="58" t="s">
        <v>310</v>
      </c>
      <c r="M8" s="58" t="str">
        <f>LEFT(Table1[[#This Row],[Tegevusala kood]],2)</f>
        <v>06</v>
      </c>
      <c r="N8" s="41" t="str">
        <f>VLOOKUP(Table1[[#This Row],[Tegevusala kood]],Table4[[Tegevusala kood]:[Tegevusala alanimetus]],2,FALSE)</f>
        <v>Ulvi, Vinni-Pajusti teeninduspiirkond</v>
      </c>
      <c r="O8" s="41" t="s">
        <v>1</v>
      </c>
      <c r="P8" s="41" t="s">
        <v>1</v>
      </c>
      <c r="Q8" s="41" t="str">
        <f>VLOOKUP(Table1[[#This Row],[Eelarvekonto]],Table5[[Konto]:[Kontode alanimetus]],5,FALSE)</f>
        <v>Majandamiskulud</v>
      </c>
      <c r="R8" s="42" t="str">
        <f>VLOOKUP(Table1[[#This Row],[Tegevusala kood]],Table4[[Tegevusala kood]:[Tegevusala alanimetus]],4,FALSE)</f>
        <v>Muu elamu- ja kommunaalmajanduse tegevus</v>
      </c>
      <c r="S8" s="53"/>
      <c r="T8" s="53"/>
      <c r="U8" s="53">
        <f>Table1[[#This Row],[Summa]]+Table1[[#This Row],[I Muudatus]]+Table1[[#This Row],[II Muudatus]]</f>
        <v>1320</v>
      </c>
    </row>
    <row r="9" spans="1:21" ht="14.25" hidden="1" customHeight="1" x14ac:dyDescent="0.25">
      <c r="A9" s="41" t="s">
        <v>150</v>
      </c>
      <c r="B9" s="41">
        <v>50</v>
      </c>
      <c r="C9" s="52">
        <v>551102</v>
      </c>
      <c r="D9" s="52" t="str">
        <f>LEFT(Table1[[#This Row],[Eelarvekonto]],2)</f>
        <v>55</v>
      </c>
      <c r="E9" s="41" t="str">
        <f>VLOOKUP(Table1[[#This Row],[Eelarvekonto]],Table5[[Konto]:[Konto nimetus]],2,FALSE)</f>
        <v>Vesi ja kanalisatsioon</v>
      </c>
      <c r="F9" s="41" t="s">
        <v>139</v>
      </c>
      <c r="G9" s="41" t="s">
        <v>24</v>
      </c>
      <c r="J9" s="41" t="s">
        <v>226</v>
      </c>
      <c r="K9" s="41" t="s">
        <v>224</v>
      </c>
      <c r="L9" s="58" t="s">
        <v>310</v>
      </c>
      <c r="M9" s="58" t="str">
        <f>LEFT(Table1[[#This Row],[Tegevusala kood]],2)</f>
        <v>06</v>
      </c>
      <c r="N9" s="41" t="str">
        <f>VLOOKUP(Table1[[#This Row],[Tegevusala kood]],Table4[[Tegevusala kood]:[Tegevusala alanimetus]],2,FALSE)</f>
        <v>Ulvi, Vinni-Pajusti teeninduspiirkond</v>
      </c>
      <c r="O9" s="41" t="s">
        <v>1</v>
      </c>
      <c r="P9" s="41" t="s">
        <v>1</v>
      </c>
      <c r="Q9" s="41" t="str">
        <f>VLOOKUP(Table1[[#This Row],[Eelarvekonto]],Table5[[Konto]:[Kontode alanimetus]],5,FALSE)</f>
        <v>Majandamiskulud</v>
      </c>
      <c r="R9" s="42" t="str">
        <f>VLOOKUP(Table1[[#This Row],[Tegevusala kood]],Table4[[Tegevusala kood]:[Tegevusala alanimetus]],4,FALSE)</f>
        <v>Muu elamu- ja kommunaalmajanduse tegevus</v>
      </c>
      <c r="S9" s="53"/>
      <c r="T9" s="53"/>
      <c r="U9" s="53">
        <f>Table1[[#This Row],[Summa]]+Table1[[#This Row],[I Muudatus]]+Table1[[#This Row],[II Muudatus]]</f>
        <v>50</v>
      </c>
    </row>
    <row r="10" spans="1:21" ht="14.25" hidden="1" customHeight="1" x14ac:dyDescent="0.25">
      <c r="A10" s="41" t="s">
        <v>484</v>
      </c>
      <c r="B10" s="41">
        <v>121.56</v>
      </c>
      <c r="C10" s="52">
        <v>5511</v>
      </c>
      <c r="D10" s="52" t="str">
        <f>LEFT(Table1[[#This Row],[Eelarvekonto]],2)</f>
        <v>55</v>
      </c>
      <c r="E10" s="41" t="str">
        <f>VLOOKUP(Table1[[#This Row],[Eelarvekonto]],Table5[[Konto]:[Konto nimetus]],2,FALSE)</f>
        <v>Kinnistute, hoonete ja ruumide majandamiskulud</v>
      </c>
      <c r="F10" s="41" t="s">
        <v>139</v>
      </c>
      <c r="G10" s="41" t="s">
        <v>24</v>
      </c>
      <c r="J10" s="41" t="s">
        <v>226</v>
      </c>
      <c r="K10" s="41" t="s">
        <v>224</v>
      </c>
      <c r="L10" s="58" t="s">
        <v>310</v>
      </c>
      <c r="M10" s="58" t="str">
        <f>LEFT(Table1[[#This Row],[Tegevusala kood]],2)</f>
        <v>06</v>
      </c>
      <c r="N10" s="41" t="str">
        <f>VLOOKUP(Table1[[#This Row],[Tegevusala kood]],Table4[[Tegevusala kood]:[Tegevusala alanimetus]],2,FALSE)</f>
        <v>Ulvi, Vinni-Pajusti teeninduspiirkond</v>
      </c>
      <c r="O10" s="41" t="s">
        <v>1</v>
      </c>
      <c r="P10" s="41" t="s">
        <v>1</v>
      </c>
      <c r="Q10" s="41" t="str">
        <f>VLOOKUP(Table1[[#This Row],[Eelarvekonto]],Table5[[Konto]:[Kontode alanimetus]],5,FALSE)</f>
        <v>Majandamiskulud</v>
      </c>
      <c r="R10" s="42" t="str">
        <f>VLOOKUP(Table1[[#This Row],[Tegevusala kood]],Table4[[Tegevusala kood]:[Tegevusala alanimetus]],4,FALSE)</f>
        <v>Muu elamu- ja kommunaalmajanduse tegevus</v>
      </c>
      <c r="S10" s="53"/>
      <c r="T10" s="53"/>
      <c r="U10" s="53">
        <f>Table1[[#This Row],[Summa]]+Table1[[#This Row],[I Muudatus]]+Table1[[#This Row],[II Muudatus]]</f>
        <v>121.56</v>
      </c>
    </row>
    <row r="11" spans="1:21" ht="14.25" hidden="1" customHeight="1" x14ac:dyDescent="0.25">
      <c r="A11" s="41" t="s">
        <v>171</v>
      </c>
      <c r="B11" s="41">
        <v>92.4</v>
      </c>
      <c r="C11" s="52">
        <v>5511</v>
      </c>
      <c r="D11" s="52" t="str">
        <f>LEFT(Table1[[#This Row],[Eelarvekonto]],2)</f>
        <v>55</v>
      </c>
      <c r="E11" s="41" t="str">
        <f>VLOOKUP(Table1[[#This Row],[Eelarvekonto]],Table5[[Konto]:[Konto nimetus]],2,FALSE)</f>
        <v>Kinnistute, hoonete ja ruumide majandamiskulud</v>
      </c>
      <c r="F11" s="41" t="s">
        <v>139</v>
      </c>
      <c r="G11" s="41" t="s">
        <v>24</v>
      </c>
      <c r="J11" s="41" t="s">
        <v>226</v>
      </c>
      <c r="K11" s="41" t="s">
        <v>224</v>
      </c>
      <c r="L11" s="58" t="s">
        <v>310</v>
      </c>
      <c r="M11" s="58" t="str">
        <f>LEFT(Table1[[#This Row],[Tegevusala kood]],2)</f>
        <v>06</v>
      </c>
      <c r="N11" s="41" t="str">
        <f>VLOOKUP(Table1[[#This Row],[Tegevusala kood]],Table4[[Tegevusala kood]:[Tegevusala alanimetus]],2,FALSE)</f>
        <v>Ulvi, Vinni-Pajusti teeninduspiirkond</v>
      </c>
      <c r="O11" s="41" t="s">
        <v>1</v>
      </c>
      <c r="P11" s="41" t="s">
        <v>1</v>
      </c>
      <c r="Q11" s="41" t="str">
        <f>VLOOKUP(Table1[[#This Row],[Eelarvekonto]],Table5[[Konto]:[Kontode alanimetus]],5,FALSE)</f>
        <v>Majandamiskulud</v>
      </c>
      <c r="R11" s="42" t="str">
        <f>VLOOKUP(Table1[[#This Row],[Tegevusala kood]],Table4[[Tegevusala kood]:[Tegevusala alanimetus]],4,FALSE)</f>
        <v>Muu elamu- ja kommunaalmajanduse tegevus</v>
      </c>
      <c r="S11" s="53"/>
      <c r="T11" s="53"/>
      <c r="U11" s="53">
        <f>Table1[[#This Row],[Summa]]+Table1[[#This Row],[I Muudatus]]+Table1[[#This Row],[II Muudatus]]</f>
        <v>92.4</v>
      </c>
    </row>
    <row r="12" spans="1:21" ht="14.25" hidden="1" customHeight="1" x14ac:dyDescent="0.25">
      <c r="A12" s="41" t="s">
        <v>1005</v>
      </c>
      <c r="B12" s="41">
        <v>780</v>
      </c>
      <c r="C12" s="52">
        <v>5500</v>
      </c>
      <c r="D12" s="52" t="str">
        <f>LEFT(Table1[[#This Row],[Eelarvekonto]],2)</f>
        <v>55</v>
      </c>
      <c r="E12" s="41" t="str">
        <f>VLOOKUP(Table1[[#This Row],[Eelarvekonto]],Table5[[Konto]:[Konto nimetus]],2,FALSE)</f>
        <v>Administreerimiskulud</v>
      </c>
      <c r="F12" s="41" t="s">
        <v>139</v>
      </c>
      <c r="G12" s="41" t="s">
        <v>24</v>
      </c>
      <c r="J12" s="41" t="s">
        <v>226</v>
      </c>
      <c r="K12" s="41" t="s">
        <v>224</v>
      </c>
      <c r="L12" s="58" t="s">
        <v>310</v>
      </c>
      <c r="M12" s="58" t="str">
        <f>LEFT(Table1[[#This Row],[Tegevusala kood]],2)</f>
        <v>06</v>
      </c>
      <c r="N12" s="41" t="str">
        <f>VLOOKUP(Table1[[#This Row],[Tegevusala kood]],Table4[[Tegevusala kood]:[Tegevusala alanimetus]],2,FALSE)</f>
        <v>Ulvi, Vinni-Pajusti teeninduspiirkond</v>
      </c>
      <c r="O12" s="41" t="s">
        <v>1</v>
      </c>
      <c r="P12" s="41" t="s">
        <v>1</v>
      </c>
      <c r="Q12" s="41" t="str">
        <f>VLOOKUP(Table1[[#This Row],[Eelarvekonto]],Table5[[Konto]:[Kontode alanimetus]],5,FALSE)</f>
        <v>Majandamiskulud</v>
      </c>
      <c r="R12" s="42" t="str">
        <f>VLOOKUP(Table1[[#This Row],[Tegevusala kood]],Table4[[Tegevusala kood]:[Tegevusala alanimetus]],4,FALSE)</f>
        <v>Muu elamu- ja kommunaalmajanduse tegevus</v>
      </c>
      <c r="S12" s="53"/>
      <c r="T12" s="53"/>
      <c r="U12" s="53">
        <f>Table1[[#This Row],[Summa]]+Table1[[#This Row],[I Muudatus]]+Table1[[#This Row],[II Muudatus]]</f>
        <v>780</v>
      </c>
    </row>
    <row r="13" spans="1:21" ht="14.25" hidden="1" customHeight="1" x14ac:dyDescent="0.25">
      <c r="A13" s="41" t="s">
        <v>1006</v>
      </c>
      <c r="B13" s="41">
        <v>16250</v>
      </c>
      <c r="C13" s="52">
        <v>4500</v>
      </c>
      <c r="D13" s="52" t="str">
        <f>LEFT(Table1[[#This Row],[Eelarvekonto]],2)</f>
        <v>45</v>
      </c>
      <c r="E13" s="41" t="str">
        <f>VLOOKUP(Table1[[#This Row],[Eelarvekonto]],Table5[[Konto]:[Konto nimetus]],2,FALSE)</f>
        <v>Antud sihtfinantseerimine tegevuskuludeks</v>
      </c>
      <c r="F13" s="41" t="s">
        <v>139</v>
      </c>
      <c r="G13" s="41" t="s">
        <v>24</v>
      </c>
      <c r="J13" s="41" t="s">
        <v>433</v>
      </c>
      <c r="K13" s="41" t="s">
        <v>432</v>
      </c>
      <c r="L13" s="58" t="s">
        <v>447</v>
      </c>
      <c r="M13" s="58" t="str">
        <f>LEFT(Table1[[#This Row],[Tegevusala kood]],2)</f>
        <v>03</v>
      </c>
      <c r="N13" s="41" t="str">
        <f>VLOOKUP(Table1[[#This Row],[Tegevusala kood]],Table4[[Tegevusala kood]:[Tegevusala alanimetus]],2,FALSE)</f>
        <v>Päästeteenused</v>
      </c>
      <c r="O13" s="41" t="s">
        <v>1</v>
      </c>
      <c r="P13" s="41" t="s">
        <v>1</v>
      </c>
      <c r="Q13" s="41" t="str">
        <f>VLOOKUP(Table1[[#This Row],[Eelarvekonto]],Table5[[Konto]:[Kontode alanimetus]],5,FALSE)</f>
        <v>Sihtotstarbelised toetused tegevuskuludeks</v>
      </c>
      <c r="R13" s="42" t="str">
        <f>VLOOKUP(Table1[[#This Row],[Tegevusala kood]],Table4[[Tegevusala kood]:[Tegevusala alanimetus]],4,FALSE)</f>
        <v>Päästeteenused</v>
      </c>
      <c r="S13" s="53"/>
      <c r="T13" s="53"/>
      <c r="U13" s="53">
        <f>Table1[[#This Row],[Summa]]+Table1[[#This Row],[I Muudatus]]+Table1[[#This Row],[II Muudatus]]</f>
        <v>16250</v>
      </c>
    </row>
    <row r="14" spans="1:21" ht="14.25" customHeight="1" x14ac:dyDescent="0.25">
      <c r="A14" s="41" t="s">
        <v>1007</v>
      </c>
      <c r="B14" s="41">
        <v>1400000</v>
      </c>
      <c r="C14" s="52">
        <v>1551</v>
      </c>
      <c r="D14" s="41" t="str">
        <f>LEFT(Table1[[#This Row],[Eelarvekonto]],2)</f>
        <v>15</v>
      </c>
      <c r="E14" s="41" t="str">
        <f>VLOOKUP(Table1[[#This Row],[Eelarvekonto]],Table5[[Konto]:[Konto nimetus]],2,FALSE)</f>
        <v>Hooned ja rajatised</v>
      </c>
      <c r="F14" s="41" t="s">
        <v>956</v>
      </c>
      <c r="G14" s="41" t="s">
        <v>891</v>
      </c>
      <c r="J14" s="41" t="s">
        <v>726</v>
      </c>
      <c r="K14" s="41" t="s">
        <v>703</v>
      </c>
      <c r="L14" s="102" t="s">
        <v>233</v>
      </c>
      <c r="M14" s="58" t="str">
        <f>LEFT(Table1[[#This Row],[Tegevusala kood]],2)</f>
        <v>08</v>
      </c>
      <c r="N14" s="41" t="str">
        <f>VLOOKUP(Table1[[#This Row],[Tegevusala kood]],Table4[[Tegevusala kood]:[Tegevusala alanimetus]],2,FALSE)</f>
        <v>Vinni-Pajusti Raamatukogu</v>
      </c>
      <c r="O14" s="41" t="s">
        <v>1</v>
      </c>
      <c r="P14" s="41" t="s">
        <v>1</v>
      </c>
      <c r="Q14" s="41" t="str">
        <f>VLOOKUP(Table1[[#This Row],[Eelarvekonto]],Table5[[Konto]:[Kontode alanimetus]],5,FALSE)</f>
        <v>Põhivara soetus (-)</v>
      </c>
      <c r="R14" s="42" t="str">
        <f>VLOOKUP(Table1[[#This Row],[Tegevusala kood]],Table4[[Tegevusala kood]:[Tegevusala alanimetus]],4,FALSE)</f>
        <v>Raamatukogud</v>
      </c>
      <c r="S14" s="53"/>
      <c r="T14" s="53"/>
      <c r="U14" s="53">
        <f>Table1[[#This Row],[Summa]]+Table1[[#This Row],[I Muudatus]]+Table1[[#This Row],[II Muudatus]]</f>
        <v>1400000</v>
      </c>
    </row>
    <row r="15" spans="1:21" ht="14.25" hidden="1" customHeight="1" x14ac:dyDescent="0.25">
      <c r="A15" s="41" t="s">
        <v>158</v>
      </c>
      <c r="B15" s="41">
        <v>3090.67</v>
      </c>
      <c r="C15" s="52">
        <v>506</v>
      </c>
      <c r="D15" s="52" t="str">
        <f>LEFT(Table1[[#This Row],[Eelarvekonto]],2)</f>
        <v>50</v>
      </c>
      <c r="E15" s="41" t="str">
        <f>VLOOKUP(Table1[[#This Row],[Eelarvekonto]],Table5[[Konto]:[Konto nimetus]],2,FALSE)</f>
        <v>Tööjõukuludega kaasnevad maksud ja sotsiaalkindlustusmaksed</v>
      </c>
      <c r="F15" s="41" t="s">
        <v>139</v>
      </c>
      <c r="G15" s="41" t="s">
        <v>24</v>
      </c>
      <c r="J15" s="41" t="s">
        <v>231</v>
      </c>
      <c r="K15" s="41" t="s">
        <v>230</v>
      </c>
      <c r="L15" s="58" t="s">
        <v>229</v>
      </c>
      <c r="M15" s="58" t="str">
        <f>LEFT(Table1[[#This Row],[Tegevusala kood]],2)</f>
        <v>08</v>
      </c>
      <c r="N15" s="41" t="str">
        <f>VLOOKUP(Table1[[#This Row],[Tegevusala kood]],Table4[[Tegevusala kood]:[Tegevusala alanimetus]],2,FALSE)</f>
        <v>Viru-Jaagupi Raamatukogu</v>
      </c>
      <c r="O15" s="41" t="s">
        <v>1</v>
      </c>
      <c r="P15" s="41" t="s">
        <v>1</v>
      </c>
      <c r="Q15" s="41" t="str">
        <f>VLOOKUP(Table1[[#This Row],[Eelarvekonto]],Table5[[Konto]:[Kontode alanimetus]],5,FALSE)</f>
        <v>Tööjõukulud</v>
      </c>
      <c r="R15" s="42" t="str">
        <f>VLOOKUP(Table1[[#This Row],[Tegevusala kood]],Table4[[Tegevusala kood]:[Tegevusala alanimetus]],4,FALSE)</f>
        <v>Raamatukogud</v>
      </c>
      <c r="S15" s="53"/>
      <c r="T15" s="53"/>
      <c r="U15" s="53">
        <f>Table1[[#This Row],[Summa]]+Table1[[#This Row],[I Muudatus]]+Table1[[#This Row],[II Muudatus]]</f>
        <v>3090.67</v>
      </c>
    </row>
    <row r="16" spans="1:21" ht="14.25" hidden="1" customHeight="1" x14ac:dyDescent="0.25">
      <c r="A16" s="41" t="s">
        <v>462</v>
      </c>
      <c r="B16" s="42">
        <v>9144</v>
      </c>
      <c r="C16" s="52">
        <v>5002</v>
      </c>
      <c r="D16" s="52" t="str">
        <f>LEFT(Table1[[#This Row],[Eelarvekonto]],2)</f>
        <v>50</v>
      </c>
      <c r="E16" s="41" t="str">
        <f>VLOOKUP(Table1[[#This Row],[Eelarvekonto]],Table5[[Konto]:[Konto nimetus]],2,FALSE)</f>
        <v>Töötajate töötasud</v>
      </c>
      <c r="F16" s="41" t="s">
        <v>139</v>
      </c>
      <c r="G16" s="41" t="s">
        <v>24</v>
      </c>
      <c r="J16" s="41" t="s">
        <v>231</v>
      </c>
      <c r="K16" s="41" t="s">
        <v>230</v>
      </c>
      <c r="L16" s="58" t="s">
        <v>229</v>
      </c>
      <c r="M16" s="58" t="str">
        <f>LEFT(Table1[[#This Row],[Tegevusala kood]],2)</f>
        <v>08</v>
      </c>
      <c r="N16" s="41" t="str">
        <f>VLOOKUP(Table1[[#This Row],[Tegevusala kood]],Table4[[Tegevusala kood]:[Tegevusala alanimetus]],2,FALSE)</f>
        <v>Viru-Jaagupi Raamatukogu</v>
      </c>
      <c r="O16" s="41" t="s">
        <v>1</v>
      </c>
      <c r="P16" s="41" t="s">
        <v>1</v>
      </c>
      <c r="Q16" s="41" t="str">
        <f>VLOOKUP(Table1[[#This Row],[Eelarvekonto]],Table5[[Konto]:[Kontode alanimetus]],5,FALSE)</f>
        <v>Tööjõukulud</v>
      </c>
      <c r="R16" s="42" t="str">
        <f>VLOOKUP(Table1[[#This Row],[Tegevusala kood]],Table4[[Tegevusala kood]:[Tegevusala alanimetus]],4,FALSE)</f>
        <v>Raamatukogud</v>
      </c>
      <c r="S16" s="53"/>
      <c r="T16" s="53"/>
      <c r="U16" s="53">
        <f>Table1[[#This Row],[Summa]]+Table1[[#This Row],[I Muudatus]]+Table1[[#This Row],[II Muudatus]]</f>
        <v>9144</v>
      </c>
    </row>
    <row r="17" spans="1:21" ht="14.25" hidden="1" customHeight="1" x14ac:dyDescent="0.25">
      <c r="A17" s="41" t="s">
        <v>491</v>
      </c>
      <c r="B17" s="41">
        <v>100</v>
      </c>
      <c r="C17" s="52">
        <v>5500</v>
      </c>
      <c r="D17" s="52" t="str">
        <f>LEFT(Table1[[#This Row],[Eelarvekonto]],2)</f>
        <v>55</v>
      </c>
      <c r="E17" s="41" t="str">
        <f>VLOOKUP(Table1[[#This Row],[Eelarvekonto]],Table5[[Konto]:[Konto nimetus]],2,FALSE)</f>
        <v>Administreerimiskulud</v>
      </c>
      <c r="F17" s="41" t="s">
        <v>139</v>
      </c>
      <c r="G17" s="41" t="s">
        <v>24</v>
      </c>
      <c r="J17" s="41" t="s">
        <v>231</v>
      </c>
      <c r="K17" s="41" t="s">
        <v>230</v>
      </c>
      <c r="L17" s="58" t="s">
        <v>229</v>
      </c>
      <c r="M17" s="58" t="str">
        <f>LEFT(Table1[[#This Row],[Tegevusala kood]],2)</f>
        <v>08</v>
      </c>
      <c r="N17" s="41" t="str">
        <f>VLOOKUP(Table1[[#This Row],[Tegevusala kood]],Table4[[Tegevusala kood]:[Tegevusala alanimetus]],2,FALSE)</f>
        <v>Viru-Jaagupi Raamatukogu</v>
      </c>
      <c r="O17" s="41" t="s">
        <v>1</v>
      </c>
      <c r="P17" s="41" t="s">
        <v>1</v>
      </c>
      <c r="Q17" s="41" t="str">
        <f>VLOOKUP(Table1[[#This Row],[Eelarvekonto]],Table5[[Konto]:[Kontode alanimetus]],5,FALSE)</f>
        <v>Majandamiskulud</v>
      </c>
      <c r="R17" s="42" t="str">
        <f>VLOOKUP(Table1[[#This Row],[Tegevusala kood]],Table4[[Tegevusala kood]:[Tegevusala alanimetus]],4,FALSE)</f>
        <v>Raamatukogud</v>
      </c>
      <c r="S17" s="53"/>
      <c r="T17" s="53"/>
      <c r="U17" s="53">
        <f>Table1[[#This Row],[Summa]]+Table1[[#This Row],[I Muudatus]]+Table1[[#This Row],[II Muudatus]]</f>
        <v>100</v>
      </c>
    </row>
    <row r="18" spans="1:21" ht="14.25" hidden="1" customHeight="1" x14ac:dyDescent="0.25">
      <c r="A18" s="41" t="s">
        <v>490</v>
      </c>
      <c r="B18" s="41">
        <v>240</v>
      </c>
      <c r="C18" s="52">
        <v>5514</v>
      </c>
      <c r="D18" s="52" t="str">
        <f>LEFT(Table1[[#This Row],[Eelarvekonto]],2)</f>
        <v>55</v>
      </c>
      <c r="E18" s="41" t="str">
        <f>VLOOKUP(Table1[[#This Row],[Eelarvekonto]],Table5[[Konto]:[Konto nimetus]],2,FALSE)</f>
        <v>Info- ja kommunikatsioonitehnoloogia kulud</v>
      </c>
      <c r="F18" s="41" t="s">
        <v>139</v>
      </c>
      <c r="G18" s="41" t="s">
        <v>24</v>
      </c>
      <c r="J18" s="41" t="s">
        <v>231</v>
      </c>
      <c r="K18" s="41" t="s">
        <v>230</v>
      </c>
      <c r="L18" s="58" t="s">
        <v>229</v>
      </c>
      <c r="M18" s="58" t="str">
        <f>LEFT(Table1[[#This Row],[Tegevusala kood]],2)</f>
        <v>08</v>
      </c>
      <c r="N18" s="41" t="str">
        <f>VLOOKUP(Table1[[#This Row],[Tegevusala kood]],Table4[[Tegevusala kood]:[Tegevusala alanimetus]],2,FALSE)</f>
        <v>Viru-Jaagupi Raamatukogu</v>
      </c>
      <c r="O18" s="41" t="s">
        <v>1</v>
      </c>
      <c r="P18" s="41" t="s">
        <v>1</v>
      </c>
      <c r="Q18" s="41" t="str">
        <f>VLOOKUP(Table1[[#This Row],[Eelarvekonto]],Table5[[Konto]:[Kontode alanimetus]],5,FALSE)</f>
        <v>Majandamiskulud</v>
      </c>
      <c r="R18" s="42" t="str">
        <f>VLOOKUP(Table1[[#This Row],[Tegevusala kood]],Table4[[Tegevusala kood]:[Tegevusala alanimetus]],4,FALSE)</f>
        <v>Raamatukogud</v>
      </c>
      <c r="S18" s="53"/>
      <c r="T18" s="53"/>
      <c r="U18" s="53">
        <f>Table1[[#This Row],[Summa]]+Table1[[#This Row],[I Muudatus]]+Table1[[#This Row],[II Muudatus]]</f>
        <v>240</v>
      </c>
    </row>
    <row r="19" spans="1:21" ht="14.25" hidden="1" customHeight="1" x14ac:dyDescent="0.25">
      <c r="A19" s="41" t="s">
        <v>592</v>
      </c>
      <c r="B19" s="41">
        <v>3439.08</v>
      </c>
      <c r="C19" s="52">
        <v>5514</v>
      </c>
      <c r="D19" s="52" t="str">
        <f>LEFT(Table1[[#This Row],[Eelarvekonto]],2)</f>
        <v>55</v>
      </c>
      <c r="E19" s="41" t="str">
        <f>VLOOKUP(Table1[[#This Row],[Eelarvekonto]],Table5[[Konto]:[Konto nimetus]],2,FALSE)</f>
        <v>Info- ja kommunikatsioonitehnoloogia kulud</v>
      </c>
      <c r="F19" s="41" t="s">
        <v>139</v>
      </c>
      <c r="G19" s="41" t="s">
        <v>24</v>
      </c>
      <c r="J19" s="41" t="s">
        <v>252</v>
      </c>
      <c r="K19" s="41" t="s">
        <v>251</v>
      </c>
      <c r="L19" s="58" t="s">
        <v>250</v>
      </c>
      <c r="M19" s="58" t="str">
        <f>LEFT(Table1[[#This Row],[Tegevusala kood]],2)</f>
        <v>09</v>
      </c>
      <c r="N19" s="41" t="str">
        <f>VLOOKUP(Table1[[#This Row],[Tegevusala kood]],Table4[[Tegevusala kood]:[Tegevusala alanimetus]],2,FALSE)</f>
        <v>Vinni-Pajusti Gümnaasium</v>
      </c>
      <c r="O19" s="41" t="s">
        <v>1</v>
      </c>
      <c r="P19" s="41" t="s">
        <v>1</v>
      </c>
      <c r="Q19" s="41" t="str">
        <f>VLOOKUP(Table1[[#This Row],[Eelarvekonto]],Table5[[Konto]:[Kontode alanimetus]],5,FALSE)</f>
        <v>Majandamiskulud</v>
      </c>
      <c r="R19" s="42" t="str">
        <f>VLOOKUP(Table1[[#This Row],[Tegevusala kood]],Table4[[Tegevusala kood]:[Tegevusala alanimetus]],4,FALSE)</f>
        <v>Põhihariduse otsekulud</v>
      </c>
      <c r="S19" s="53"/>
      <c r="T19" s="53"/>
      <c r="U19" s="53">
        <f>Table1[[#This Row],[Summa]]+Table1[[#This Row],[I Muudatus]]+Table1[[#This Row],[II Muudatus]]</f>
        <v>3439.08</v>
      </c>
    </row>
    <row r="20" spans="1:21" ht="14.25" hidden="1" customHeight="1" x14ac:dyDescent="0.25">
      <c r="A20" s="41" t="s">
        <v>471</v>
      </c>
      <c r="B20" s="41">
        <v>7848</v>
      </c>
      <c r="C20" s="52">
        <v>5002</v>
      </c>
      <c r="D20" s="52" t="str">
        <f>LEFT(Table1[[#This Row],[Eelarvekonto]],2)</f>
        <v>50</v>
      </c>
      <c r="E20" s="41" t="str">
        <f>VLOOKUP(Table1[[#This Row],[Eelarvekonto]],Table5[[Konto]:[Konto nimetus]],2,FALSE)</f>
        <v>Töötajate töötasud</v>
      </c>
      <c r="F20" s="41" t="s">
        <v>139</v>
      </c>
      <c r="G20" s="41" t="s">
        <v>24</v>
      </c>
      <c r="J20" s="41" t="s">
        <v>252</v>
      </c>
      <c r="K20" s="41" t="s">
        <v>251</v>
      </c>
      <c r="L20" s="58" t="s">
        <v>250</v>
      </c>
      <c r="M20" s="58" t="str">
        <f>LEFT(Table1[[#This Row],[Tegevusala kood]],2)</f>
        <v>09</v>
      </c>
      <c r="N20" s="41" t="str">
        <f>VLOOKUP(Table1[[#This Row],[Tegevusala kood]],Table4[[Tegevusala kood]:[Tegevusala alanimetus]],2,FALSE)</f>
        <v>Vinni-Pajusti Gümnaasium</v>
      </c>
      <c r="O20" s="41" t="s">
        <v>1</v>
      </c>
      <c r="P20" s="41" t="s">
        <v>1</v>
      </c>
      <c r="Q20" s="41" t="str">
        <f>VLOOKUP(Table1[[#This Row],[Eelarvekonto]],Table5[[Konto]:[Kontode alanimetus]],5,FALSE)</f>
        <v>Tööjõukulud</v>
      </c>
      <c r="R20" s="42" t="str">
        <f>VLOOKUP(Table1[[#This Row],[Tegevusala kood]],Table4[[Tegevusala kood]:[Tegevusala alanimetus]],4,FALSE)</f>
        <v>Põhihariduse otsekulud</v>
      </c>
      <c r="S20" s="53"/>
      <c r="T20" s="53"/>
      <c r="U20" s="53">
        <f>Table1[[#This Row],[Summa]]+Table1[[#This Row],[I Muudatus]]+Table1[[#This Row],[II Muudatus]]</f>
        <v>7848</v>
      </c>
    </row>
    <row r="21" spans="1:21" ht="14.25" hidden="1" customHeight="1" x14ac:dyDescent="0.25">
      <c r="A21" s="41" t="s">
        <v>990</v>
      </c>
      <c r="B21" s="42">
        <v>15780</v>
      </c>
      <c r="C21" s="52">
        <v>5002</v>
      </c>
      <c r="D21" s="52" t="str">
        <f>LEFT(Table1[[#This Row],[Eelarvekonto]],2)</f>
        <v>50</v>
      </c>
      <c r="E21" s="41" t="str">
        <f>VLOOKUP(Table1[[#This Row],[Eelarvekonto]],Table5[[Konto]:[Konto nimetus]],2,FALSE)</f>
        <v>Töötajate töötasud</v>
      </c>
      <c r="F21" s="41" t="s">
        <v>139</v>
      </c>
      <c r="G21" s="41" t="s">
        <v>24</v>
      </c>
      <c r="J21" s="41" t="s">
        <v>252</v>
      </c>
      <c r="K21" s="41" t="s">
        <v>251</v>
      </c>
      <c r="L21" s="58" t="s">
        <v>250</v>
      </c>
      <c r="M21" s="58" t="str">
        <f>LEFT(Table1[[#This Row],[Tegevusala kood]],2)</f>
        <v>09</v>
      </c>
      <c r="N21" s="41" t="str">
        <f>VLOOKUP(Table1[[#This Row],[Tegevusala kood]],Table4[[Tegevusala kood]:[Tegevusala alanimetus]],2,FALSE)</f>
        <v>Vinni-Pajusti Gümnaasium</v>
      </c>
      <c r="O21" s="41" t="s">
        <v>1</v>
      </c>
      <c r="P21" s="41" t="s">
        <v>1</v>
      </c>
      <c r="Q21" s="41" t="str">
        <f>VLOOKUP(Table1[[#This Row],[Eelarvekonto]],Table5[[Konto]:[Kontode alanimetus]],5,FALSE)</f>
        <v>Tööjõukulud</v>
      </c>
      <c r="R21" s="42" t="str">
        <f>VLOOKUP(Table1[[#This Row],[Tegevusala kood]],Table4[[Tegevusala kood]:[Tegevusala alanimetus]],4,FALSE)</f>
        <v>Põhihariduse otsekulud</v>
      </c>
      <c r="S21" s="53"/>
      <c r="T21" s="53"/>
      <c r="U21" s="53">
        <f>Table1[[#This Row],[Summa]]+Table1[[#This Row],[I Muudatus]]+Table1[[#This Row],[II Muudatus]]</f>
        <v>15780</v>
      </c>
    </row>
    <row r="22" spans="1:21" ht="14.25" hidden="1" customHeight="1" x14ac:dyDescent="0.25">
      <c r="A22" s="41" t="s">
        <v>964</v>
      </c>
      <c r="B22" s="42">
        <v>1050</v>
      </c>
      <c r="C22" s="52">
        <v>551300</v>
      </c>
      <c r="D22" s="52" t="str">
        <f>LEFT(Table1[[#This Row],[Eelarvekonto]],2)</f>
        <v>55</v>
      </c>
      <c r="E22" s="41" t="str">
        <f>VLOOKUP(Table1[[#This Row],[Eelarvekonto]],Table5[[Konto]:[Konto nimetus]],2,FALSE)</f>
        <v>Kütus</v>
      </c>
      <c r="F22" s="41" t="s">
        <v>139</v>
      </c>
      <c r="G22" s="41" t="s">
        <v>24</v>
      </c>
      <c r="J22" s="41" t="s">
        <v>252</v>
      </c>
      <c r="K22" s="41" t="s">
        <v>251</v>
      </c>
      <c r="L22" s="58" t="s">
        <v>250</v>
      </c>
      <c r="M22" s="58" t="str">
        <f>LEFT(Table1[[#This Row],[Tegevusala kood]],2)</f>
        <v>09</v>
      </c>
      <c r="N22" s="41" t="str">
        <f>VLOOKUP(Table1[[#This Row],[Tegevusala kood]],Table4[[Tegevusala kood]:[Tegevusala alanimetus]],2,FALSE)</f>
        <v>Vinni-Pajusti Gümnaasium</v>
      </c>
      <c r="O22" s="41" t="s">
        <v>1</v>
      </c>
      <c r="P22" s="41" t="s">
        <v>1</v>
      </c>
      <c r="Q22" s="41" t="str">
        <f>VLOOKUP(Table1[[#This Row],[Eelarvekonto]],Table5[[Konto]:[Kontode alanimetus]],5,FALSE)</f>
        <v>Majandamiskulud</v>
      </c>
      <c r="R22" s="42" t="str">
        <f>VLOOKUP(Table1[[#This Row],[Tegevusala kood]],Table4[[Tegevusala kood]:[Tegevusala alanimetus]],4,FALSE)</f>
        <v>Põhihariduse otsekulud</v>
      </c>
      <c r="S22" s="53"/>
      <c r="T22" s="53"/>
      <c r="U22" s="53">
        <f>Table1[[#This Row],[Summa]]+Table1[[#This Row],[I Muudatus]]+Table1[[#This Row],[II Muudatus]]</f>
        <v>1050</v>
      </c>
    </row>
    <row r="23" spans="1:21" ht="14.25" hidden="1" customHeight="1" x14ac:dyDescent="0.25">
      <c r="A23" s="41" t="s">
        <v>966</v>
      </c>
      <c r="B23" s="68">
        <v>660</v>
      </c>
      <c r="C23" s="52">
        <v>551300</v>
      </c>
      <c r="D23" s="52" t="str">
        <f>LEFT(Table1[[#This Row],[Eelarvekonto]],2)</f>
        <v>55</v>
      </c>
      <c r="E23" s="41" t="str">
        <f>VLOOKUP(Table1[[#This Row],[Eelarvekonto]],Table5[[Konto]:[Konto nimetus]],2,FALSE)</f>
        <v>Kütus</v>
      </c>
      <c r="F23" s="41" t="s">
        <v>139</v>
      </c>
      <c r="G23" s="41" t="s">
        <v>24</v>
      </c>
      <c r="J23" s="41" t="s">
        <v>252</v>
      </c>
      <c r="K23" s="41" t="s">
        <v>251</v>
      </c>
      <c r="L23" s="58" t="s">
        <v>250</v>
      </c>
      <c r="M23" s="58" t="str">
        <f>LEFT(Table1[[#This Row],[Tegevusala kood]],2)</f>
        <v>09</v>
      </c>
      <c r="N23" s="41" t="str">
        <f>VLOOKUP(Table1[[#This Row],[Tegevusala kood]],Table4[[Tegevusala kood]:[Tegevusala alanimetus]],2,FALSE)</f>
        <v>Vinni-Pajusti Gümnaasium</v>
      </c>
      <c r="O23" s="41" t="s">
        <v>1</v>
      </c>
      <c r="P23" s="41" t="s">
        <v>1</v>
      </c>
      <c r="Q23" s="41" t="str">
        <f>VLOOKUP(Table1[[#This Row],[Eelarvekonto]],Table5[[Konto]:[Kontode alanimetus]],5,FALSE)</f>
        <v>Majandamiskulud</v>
      </c>
      <c r="R23" s="42" t="str">
        <f>VLOOKUP(Table1[[#This Row],[Tegevusala kood]],Table4[[Tegevusala kood]:[Tegevusala alanimetus]],4,FALSE)</f>
        <v>Põhihariduse otsekulud</v>
      </c>
      <c r="S23" s="53"/>
      <c r="T23" s="53"/>
      <c r="U23" s="53">
        <f>Table1[[#This Row],[Summa]]+Table1[[#This Row],[I Muudatus]]+Table1[[#This Row],[II Muudatus]]</f>
        <v>660</v>
      </c>
    </row>
    <row r="24" spans="1:21" ht="14.25" hidden="1" customHeight="1" x14ac:dyDescent="0.25">
      <c r="A24" s="41" t="s">
        <v>967</v>
      </c>
      <c r="B24" s="41">
        <v>1620</v>
      </c>
      <c r="C24" s="52">
        <v>551300</v>
      </c>
      <c r="D24" s="52" t="str">
        <f>LEFT(Table1[[#This Row],[Eelarvekonto]],2)</f>
        <v>55</v>
      </c>
      <c r="E24" s="41" t="str">
        <f>VLOOKUP(Table1[[#This Row],[Eelarvekonto]],Table5[[Konto]:[Konto nimetus]],2,FALSE)</f>
        <v>Kütus</v>
      </c>
      <c r="F24" s="41" t="s">
        <v>139</v>
      </c>
      <c r="G24" s="41" t="s">
        <v>24</v>
      </c>
      <c r="J24" s="41" t="s">
        <v>252</v>
      </c>
      <c r="K24" s="41" t="s">
        <v>251</v>
      </c>
      <c r="L24" s="58" t="s">
        <v>250</v>
      </c>
      <c r="M24" s="58" t="str">
        <f>LEFT(Table1[[#This Row],[Tegevusala kood]],2)</f>
        <v>09</v>
      </c>
      <c r="N24" s="41" t="str">
        <f>VLOOKUP(Table1[[#This Row],[Tegevusala kood]],Table4[[Tegevusala kood]:[Tegevusala alanimetus]],2,FALSE)</f>
        <v>Vinni-Pajusti Gümnaasium</v>
      </c>
      <c r="O24" s="41" t="s">
        <v>1</v>
      </c>
      <c r="P24" s="41" t="s">
        <v>1</v>
      </c>
      <c r="Q24" s="41" t="str">
        <f>VLOOKUP(Table1[[#This Row],[Eelarvekonto]],Table5[[Konto]:[Kontode alanimetus]],5,FALSE)</f>
        <v>Majandamiskulud</v>
      </c>
      <c r="R24" s="42" t="str">
        <f>VLOOKUP(Table1[[#This Row],[Tegevusala kood]],Table4[[Tegevusala kood]:[Tegevusala alanimetus]],4,FALSE)</f>
        <v>Põhihariduse otsekulud</v>
      </c>
      <c r="S24" s="53"/>
      <c r="T24" s="53"/>
      <c r="U24" s="53">
        <f>Table1[[#This Row],[Summa]]+Table1[[#This Row],[I Muudatus]]+Table1[[#This Row],[II Muudatus]]</f>
        <v>1620</v>
      </c>
    </row>
    <row r="25" spans="1:21" ht="14.25" hidden="1" customHeight="1" x14ac:dyDescent="0.25">
      <c r="A25" s="41" t="s">
        <v>965</v>
      </c>
      <c r="B25" s="41">
        <v>1320</v>
      </c>
      <c r="C25" s="52">
        <v>551300</v>
      </c>
      <c r="D25" s="52" t="str">
        <f>LEFT(Table1[[#This Row],[Eelarvekonto]],2)</f>
        <v>55</v>
      </c>
      <c r="E25" s="41" t="str">
        <f>VLOOKUP(Table1[[#This Row],[Eelarvekonto]],Table5[[Konto]:[Konto nimetus]],2,FALSE)</f>
        <v>Kütus</v>
      </c>
      <c r="F25" s="41" t="s">
        <v>139</v>
      </c>
      <c r="G25" s="41" t="s">
        <v>24</v>
      </c>
      <c r="J25" s="41" t="s">
        <v>252</v>
      </c>
      <c r="K25" s="41" t="s">
        <v>251</v>
      </c>
      <c r="L25" s="58" t="s">
        <v>250</v>
      </c>
      <c r="M25" s="58" t="str">
        <f>LEFT(Table1[[#This Row],[Tegevusala kood]],2)</f>
        <v>09</v>
      </c>
      <c r="N25" s="41" t="str">
        <f>VLOOKUP(Table1[[#This Row],[Tegevusala kood]],Table4[[Tegevusala kood]:[Tegevusala alanimetus]],2,FALSE)</f>
        <v>Vinni-Pajusti Gümnaasium</v>
      </c>
      <c r="O25" s="41" t="s">
        <v>1</v>
      </c>
      <c r="P25" s="41" t="s">
        <v>1</v>
      </c>
      <c r="Q25" s="41" t="str">
        <f>VLOOKUP(Table1[[#This Row],[Eelarvekonto]],Table5[[Konto]:[Kontode alanimetus]],5,FALSE)</f>
        <v>Majandamiskulud</v>
      </c>
      <c r="R25" s="42" t="str">
        <f>VLOOKUP(Table1[[#This Row],[Tegevusala kood]],Table4[[Tegevusala kood]:[Tegevusala alanimetus]],4,FALSE)</f>
        <v>Põhihariduse otsekulud</v>
      </c>
      <c r="S25" s="53"/>
      <c r="T25" s="53"/>
      <c r="U25" s="53">
        <f>Table1[[#This Row],[Summa]]+Table1[[#This Row],[I Muudatus]]+Table1[[#This Row],[II Muudatus]]</f>
        <v>1320</v>
      </c>
    </row>
    <row r="26" spans="1:21" ht="14.25" hidden="1" customHeight="1" x14ac:dyDescent="0.25">
      <c r="A26" s="41" t="s">
        <v>1008</v>
      </c>
      <c r="B26" s="41">
        <v>300</v>
      </c>
      <c r="C26" s="52">
        <v>551307</v>
      </c>
      <c r="D26" s="52" t="str">
        <f>LEFT(Table1[[#This Row],[Eelarvekonto]],2)</f>
        <v>55</v>
      </c>
      <c r="E26" s="41" t="str">
        <f>VLOOKUP(Table1[[#This Row],[Eelarvekonto]],Table5[[Konto]:[Konto nimetus]],2,FALSE)</f>
        <v>Kindlustus</v>
      </c>
      <c r="F26" s="41" t="s">
        <v>139</v>
      </c>
      <c r="G26" s="41" t="s">
        <v>24</v>
      </c>
      <c r="J26" s="41" t="s">
        <v>252</v>
      </c>
      <c r="K26" s="41" t="s">
        <v>251</v>
      </c>
      <c r="L26" s="58" t="s">
        <v>250</v>
      </c>
      <c r="M26" s="58" t="str">
        <f>LEFT(Table1[[#This Row],[Tegevusala kood]],2)</f>
        <v>09</v>
      </c>
      <c r="N26" s="41" t="str">
        <f>VLOOKUP(Table1[[#This Row],[Tegevusala kood]],Table4[[Tegevusala kood]:[Tegevusala alanimetus]],2,FALSE)</f>
        <v>Vinni-Pajusti Gümnaasium</v>
      </c>
      <c r="O26" s="41" t="s">
        <v>1</v>
      </c>
      <c r="P26" s="41" t="s">
        <v>1</v>
      </c>
      <c r="Q26" s="41" t="str">
        <f>VLOOKUP(Table1[[#This Row],[Eelarvekonto]],Table5[[Konto]:[Kontode alanimetus]],5,FALSE)</f>
        <v>Majandamiskulud</v>
      </c>
      <c r="R26" s="42" t="str">
        <f>VLOOKUP(Table1[[#This Row],[Tegevusala kood]],Table4[[Tegevusala kood]:[Tegevusala alanimetus]],4,FALSE)</f>
        <v>Põhihariduse otsekulud</v>
      </c>
      <c r="S26" s="53"/>
      <c r="T26" s="53"/>
      <c r="U26" s="53">
        <f>Table1[[#This Row],[Summa]]+Table1[[#This Row],[I Muudatus]]+Table1[[#This Row],[II Muudatus]]</f>
        <v>300</v>
      </c>
    </row>
    <row r="27" spans="1:21" ht="14.25" hidden="1" customHeight="1" x14ac:dyDescent="0.25">
      <c r="A27" s="41" t="s">
        <v>521</v>
      </c>
      <c r="B27" s="41">
        <v>3526.2</v>
      </c>
      <c r="C27" s="52">
        <v>551308</v>
      </c>
      <c r="D27" s="52" t="str">
        <f>LEFT(Table1[[#This Row],[Eelarvekonto]],2)</f>
        <v>55</v>
      </c>
      <c r="E27" s="41" t="str">
        <f>VLOOKUP(Table1[[#This Row],[Eelarvekonto]],Table5[[Konto]:[Konto nimetus]],2,FALSE)</f>
        <v>Sõidukite kasutusrent</v>
      </c>
      <c r="F27" s="41" t="s">
        <v>139</v>
      </c>
      <c r="G27" s="41" t="s">
        <v>24</v>
      </c>
      <c r="J27" s="41" t="s">
        <v>252</v>
      </c>
      <c r="K27" s="41" t="s">
        <v>251</v>
      </c>
      <c r="L27" s="58" t="s">
        <v>250</v>
      </c>
      <c r="M27" s="58" t="str">
        <f>LEFT(Table1[[#This Row],[Tegevusala kood]],2)</f>
        <v>09</v>
      </c>
      <c r="N27" s="41" t="str">
        <f>VLOOKUP(Table1[[#This Row],[Tegevusala kood]],Table4[[Tegevusala kood]:[Tegevusala alanimetus]],2,FALSE)</f>
        <v>Vinni-Pajusti Gümnaasium</v>
      </c>
      <c r="O27" s="41" t="s">
        <v>1</v>
      </c>
      <c r="P27" s="41" t="s">
        <v>1</v>
      </c>
      <c r="Q27" s="41" t="str">
        <f>VLOOKUP(Table1[[#This Row],[Eelarvekonto]],Table5[[Konto]:[Kontode alanimetus]],5,FALSE)</f>
        <v>Majandamiskulud</v>
      </c>
      <c r="R27" s="42" t="str">
        <f>VLOOKUP(Table1[[#This Row],[Tegevusala kood]],Table4[[Tegevusala kood]:[Tegevusala alanimetus]],4,FALSE)</f>
        <v>Põhihariduse otsekulud</v>
      </c>
      <c r="S27" s="53"/>
      <c r="T27" s="53"/>
      <c r="U27" s="53">
        <f>Table1[[#This Row],[Summa]]+Table1[[#This Row],[I Muudatus]]+Table1[[#This Row],[II Muudatus]]</f>
        <v>3526.2</v>
      </c>
    </row>
    <row r="28" spans="1:21" ht="14.25" hidden="1" customHeight="1" x14ac:dyDescent="0.25">
      <c r="A28" s="41" t="s">
        <v>464</v>
      </c>
      <c r="B28" s="41">
        <v>4978.25</v>
      </c>
      <c r="C28" s="52">
        <v>551308</v>
      </c>
      <c r="D28" s="52" t="str">
        <f>LEFT(Table1[[#This Row],[Eelarvekonto]],2)</f>
        <v>55</v>
      </c>
      <c r="E28" s="41" t="str">
        <f>VLOOKUP(Table1[[#This Row],[Eelarvekonto]],Table5[[Konto]:[Konto nimetus]],2,FALSE)</f>
        <v>Sõidukite kasutusrent</v>
      </c>
      <c r="F28" s="41" t="s">
        <v>139</v>
      </c>
      <c r="G28" s="41" t="s">
        <v>24</v>
      </c>
      <c r="J28" s="41" t="s">
        <v>252</v>
      </c>
      <c r="K28" s="41" t="s">
        <v>251</v>
      </c>
      <c r="L28" s="58" t="s">
        <v>250</v>
      </c>
      <c r="M28" s="58" t="str">
        <f>LEFT(Table1[[#This Row],[Tegevusala kood]],2)</f>
        <v>09</v>
      </c>
      <c r="N28" s="41" t="str">
        <f>VLOOKUP(Table1[[#This Row],[Tegevusala kood]],Table4[[Tegevusala kood]:[Tegevusala alanimetus]],2,FALSE)</f>
        <v>Vinni-Pajusti Gümnaasium</v>
      </c>
      <c r="O28" s="41" t="s">
        <v>1</v>
      </c>
      <c r="P28" s="41" t="s">
        <v>1</v>
      </c>
      <c r="Q28" s="41" t="str">
        <f>VLOOKUP(Table1[[#This Row],[Eelarvekonto]],Table5[[Konto]:[Kontode alanimetus]],5,FALSE)</f>
        <v>Majandamiskulud</v>
      </c>
      <c r="R28" s="42" t="str">
        <f>VLOOKUP(Table1[[#This Row],[Tegevusala kood]],Table4[[Tegevusala kood]:[Tegevusala alanimetus]],4,FALSE)</f>
        <v>Põhihariduse otsekulud</v>
      </c>
      <c r="S28" s="53"/>
      <c r="T28" s="53"/>
      <c r="U28" s="53">
        <f>Table1[[#This Row],[Summa]]+Table1[[#This Row],[I Muudatus]]+Table1[[#This Row],[II Muudatus]]</f>
        <v>4978.25</v>
      </c>
    </row>
    <row r="29" spans="1:21" ht="14.25" hidden="1" customHeight="1" x14ac:dyDescent="0.25">
      <c r="A29" s="41" t="s">
        <v>520</v>
      </c>
      <c r="B29" s="41">
        <v>440</v>
      </c>
      <c r="C29" s="52">
        <v>5513081</v>
      </c>
      <c r="D29" s="52" t="str">
        <f>LEFT(Table1[[#This Row],[Eelarvekonto]],2)</f>
        <v>55</v>
      </c>
      <c r="E29" s="41" t="str">
        <f>VLOOKUP(Table1[[#This Row],[Eelarvekonto]],Table5[[Konto]:[Konto nimetus]],2,FALSE)</f>
        <v>Isikliku sõiduauto kompensatsioon</v>
      </c>
      <c r="F29" s="41" t="s">
        <v>139</v>
      </c>
      <c r="G29" s="41" t="s">
        <v>24</v>
      </c>
      <c r="J29" s="41" t="s">
        <v>252</v>
      </c>
      <c r="K29" s="41" t="s">
        <v>251</v>
      </c>
      <c r="L29" s="58" t="s">
        <v>250</v>
      </c>
      <c r="M29" s="58" t="str">
        <f>LEFT(Table1[[#This Row],[Tegevusala kood]],2)</f>
        <v>09</v>
      </c>
      <c r="N29" s="41" t="str">
        <f>VLOOKUP(Table1[[#This Row],[Tegevusala kood]],Table4[[Tegevusala kood]:[Tegevusala alanimetus]],2,FALSE)</f>
        <v>Vinni-Pajusti Gümnaasium</v>
      </c>
      <c r="O29" s="41" t="s">
        <v>1</v>
      </c>
      <c r="P29" s="41" t="s">
        <v>1</v>
      </c>
      <c r="Q29" s="41" t="str">
        <f>VLOOKUP(Table1[[#This Row],[Eelarvekonto]],Table5[[Konto]:[Kontode alanimetus]],5,FALSE)</f>
        <v>Majandamiskulud</v>
      </c>
      <c r="R29" s="42" t="str">
        <f>VLOOKUP(Table1[[#This Row],[Tegevusala kood]],Table4[[Tegevusala kood]:[Tegevusala alanimetus]],4,FALSE)</f>
        <v>Põhihariduse otsekulud</v>
      </c>
      <c r="S29" s="53"/>
      <c r="T29" s="53"/>
      <c r="U29" s="53">
        <f>Table1[[#This Row],[Summa]]+Table1[[#This Row],[I Muudatus]]+Table1[[#This Row],[II Muudatus]]</f>
        <v>440</v>
      </c>
    </row>
    <row r="30" spans="1:21" ht="14.25" hidden="1" customHeight="1" x14ac:dyDescent="0.25">
      <c r="A30" s="41" t="s">
        <v>519</v>
      </c>
      <c r="B30" s="41">
        <v>1650</v>
      </c>
      <c r="C30" s="52">
        <v>5513081</v>
      </c>
      <c r="D30" s="52" t="str">
        <f>LEFT(Table1[[#This Row],[Eelarvekonto]],2)</f>
        <v>55</v>
      </c>
      <c r="E30" s="41" t="str">
        <f>VLOOKUP(Table1[[#This Row],[Eelarvekonto]],Table5[[Konto]:[Konto nimetus]],2,FALSE)</f>
        <v>Isikliku sõiduauto kompensatsioon</v>
      </c>
      <c r="F30" s="41" t="s">
        <v>139</v>
      </c>
      <c r="G30" s="41" t="s">
        <v>24</v>
      </c>
      <c r="J30" s="41" t="s">
        <v>252</v>
      </c>
      <c r="K30" s="41" t="s">
        <v>251</v>
      </c>
      <c r="L30" s="58" t="s">
        <v>250</v>
      </c>
      <c r="M30" s="58" t="str">
        <f>LEFT(Table1[[#This Row],[Tegevusala kood]],2)</f>
        <v>09</v>
      </c>
      <c r="N30" s="41" t="str">
        <f>VLOOKUP(Table1[[#This Row],[Tegevusala kood]],Table4[[Tegevusala kood]:[Tegevusala alanimetus]],2,FALSE)</f>
        <v>Vinni-Pajusti Gümnaasium</v>
      </c>
      <c r="O30" s="41" t="s">
        <v>1</v>
      </c>
      <c r="P30" s="41" t="s">
        <v>1</v>
      </c>
      <c r="Q30" s="41" t="str">
        <f>VLOOKUP(Table1[[#This Row],[Eelarvekonto]],Table5[[Konto]:[Kontode alanimetus]],5,FALSE)</f>
        <v>Majandamiskulud</v>
      </c>
      <c r="R30" s="42" t="str">
        <f>VLOOKUP(Table1[[#This Row],[Tegevusala kood]],Table4[[Tegevusala kood]:[Tegevusala alanimetus]],4,FALSE)</f>
        <v>Põhihariduse otsekulud</v>
      </c>
      <c r="S30" s="53"/>
      <c r="T30" s="53"/>
      <c r="U30" s="53">
        <f>Table1[[#This Row],[Summa]]+Table1[[#This Row],[I Muudatus]]+Table1[[#This Row],[II Muudatus]]</f>
        <v>1650</v>
      </c>
    </row>
    <row r="31" spans="1:21" ht="14.25" hidden="1" customHeight="1" x14ac:dyDescent="0.25">
      <c r="A31" s="41" t="s">
        <v>158</v>
      </c>
      <c r="B31" s="41">
        <v>99931.72</v>
      </c>
      <c r="C31" s="52">
        <v>506</v>
      </c>
      <c r="D31" s="52" t="str">
        <f>LEFT(Table1[[#This Row],[Eelarvekonto]],2)</f>
        <v>50</v>
      </c>
      <c r="E31" s="41" t="str">
        <f>VLOOKUP(Table1[[#This Row],[Eelarvekonto]],Table5[[Konto]:[Konto nimetus]],2,FALSE)</f>
        <v>Tööjõukuludega kaasnevad maksud ja sotsiaalkindlustusmaksed</v>
      </c>
      <c r="F31" s="41" t="s">
        <v>139</v>
      </c>
      <c r="G31" s="41" t="s">
        <v>24</v>
      </c>
      <c r="J31" s="41" t="s">
        <v>252</v>
      </c>
      <c r="K31" s="41" t="s">
        <v>251</v>
      </c>
      <c r="L31" s="58" t="s">
        <v>250</v>
      </c>
      <c r="M31" s="58" t="str">
        <f>LEFT(Table1[[#This Row],[Tegevusala kood]],2)</f>
        <v>09</v>
      </c>
      <c r="N31" s="41" t="str">
        <f>VLOOKUP(Table1[[#This Row],[Tegevusala kood]],Table4[[Tegevusala kood]:[Tegevusala alanimetus]],2,FALSE)</f>
        <v>Vinni-Pajusti Gümnaasium</v>
      </c>
      <c r="O31" s="41" t="s">
        <v>1</v>
      </c>
      <c r="P31" s="41" t="s">
        <v>1</v>
      </c>
      <c r="Q31" s="41" t="str">
        <f>VLOOKUP(Table1[[#This Row],[Eelarvekonto]],Table5[[Konto]:[Kontode alanimetus]],5,FALSE)</f>
        <v>Tööjõukulud</v>
      </c>
      <c r="R31" s="42" t="str">
        <f>VLOOKUP(Table1[[#This Row],[Tegevusala kood]],Table4[[Tegevusala kood]:[Tegevusala alanimetus]],4,FALSE)</f>
        <v>Põhihariduse otsekulud</v>
      </c>
      <c r="S31" s="53"/>
      <c r="T31" s="53"/>
      <c r="U31" s="53">
        <f>Table1[[#This Row],[Summa]]+Table1[[#This Row],[I Muudatus]]+Table1[[#This Row],[II Muudatus]]</f>
        <v>99931.72</v>
      </c>
    </row>
    <row r="32" spans="1:21" ht="14.25" hidden="1" customHeight="1" x14ac:dyDescent="0.25">
      <c r="A32" s="41" t="s">
        <v>470</v>
      </c>
      <c r="B32" s="41">
        <v>7968</v>
      </c>
      <c r="C32" s="52">
        <v>5002</v>
      </c>
      <c r="D32" s="52" t="str">
        <f>LEFT(Table1[[#This Row],[Eelarvekonto]],2)</f>
        <v>50</v>
      </c>
      <c r="E32" s="41" t="str">
        <f>VLOOKUP(Table1[[#This Row],[Eelarvekonto]],Table5[[Konto]:[Konto nimetus]],2,FALSE)</f>
        <v>Töötajate töötasud</v>
      </c>
      <c r="F32" s="41" t="s">
        <v>139</v>
      </c>
      <c r="G32" s="41" t="s">
        <v>24</v>
      </c>
      <c r="J32" s="41" t="s">
        <v>306</v>
      </c>
      <c r="K32" s="41" t="s">
        <v>304</v>
      </c>
      <c r="L32" s="58" t="s">
        <v>305</v>
      </c>
      <c r="M32" s="58" t="str">
        <f>LEFT(Table1[[#This Row],[Tegevusala kood]],2)</f>
        <v>09</v>
      </c>
      <c r="N32" s="41" t="str">
        <f>VLOOKUP(Table1[[#This Row],[Tegevusala kood]],Table4[[Tegevusala kood]:[Tegevusala alanimetus]],2,FALSE)</f>
        <v>Vinni Lasteaed</v>
      </c>
      <c r="O32" s="41" t="s">
        <v>1</v>
      </c>
      <c r="P32" s="41" t="s">
        <v>1</v>
      </c>
      <c r="Q32" s="41" t="str">
        <f>VLOOKUP(Table1[[#This Row],[Eelarvekonto]],Table5[[Konto]:[Kontode alanimetus]],5,FALSE)</f>
        <v>Tööjõukulud</v>
      </c>
      <c r="R32" s="42" t="str">
        <f>VLOOKUP(Table1[[#This Row],[Tegevusala kood]],Table4[[Tegevusala kood]:[Tegevusala alanimetus]],4,FALSE)</f>
        <v>Alusharidus</v>
      </c>
      <c r="S32" s="53"/>
      <c r="T32" s="53"/>
      <c r="U32" s="53">
        <f>Table1[[#This Row],[Summa]]+Table1[[#This Row],[I Muudatus]]+Table1[[#This Row],[II Muudatus]]</f>
        <v>7968</v>
      </c>
    </row>
    <row r="33" spans="1:21" ht="14.25" hidden="1" customHeight="1" x14ac:dyDescent="0.25">
      <c r="A33" s="41" t="s">
        <v>518</v>
      </c>
      <c r="B33" s="41">
        <v>17400</v>
      </c>
      <c r="C33" s="52">
        <v>5002</v>
      </c>
      <c r="D33" s="52" t="str">
        <f>LEFT(Table1[[#This Row],[Eelarvekonto]],2)</f>
        <v>50</v>
      </c>
      <c r="E33" s="41" t="str">
        <f>VLOOKUP(Table1[[#This Row],[Eelarvekonto]],Table5[[Konto]:[Konto nimetus]],2,FALSE)</f>
        <v>Töötajate töötasud</v>
      </c>
      <c r="F33" s="41" t="s">
        <v>139</v>
      </c>
      <c r="G33" s="41" t="s">
        <v>24</v>
      </c>
      <c r="J33" s="41" t="s">
        <v>252</v>
      </c>
      <c r="K33" s="41" t="s">
        <v>251</v>
      </c>
      <c r="L33" s="58" t="s">
        <v>250</v>
      </c>
      <c r="M33" s="58" t="str">
        <f>LEFT(Table1[[#This Row],[Tegevusala kood]],2)</f>
        <v>09</v>
      </c>
      <c r="N33" s="41" t="str">
        <f>VLOOKUP(Table1[[#This Row],[Tegevusala kood]],Table4[[Tegevusala kood]:[Tegevusala alanimetus]],2,FALSE)</f>
        <v>Vinni-Pajusti Gümnaasium</v>
      </c>
      <c r="O33" s="41" t="s">
        <v>1</v>
      </c>
      <c r="P33" s="41" t="s">
        <v>1</v>
      </c>
      <c r="Q33" s="41" t="str">
        <f>VLOOKUP(Table1[[#This Row],[Eelarvekonto]],Table5[[Konto]:[Kontode alanimetus]],5,FALSE)</f>
        <v>Tööjõukulud</v>
      </c>
      <c r="R33" s="42" t="str">
        <f>VLOOKUP(Table1[[#This Row],[Tegevusala kood]],Table4[[Tegevusala kood]:[Tegevusala alanimetus]],4,FALSE)</f>
        <v>Põhihariduse otsekulud</v>
      </c>
      <c r="S33" s="53"/>
      <c r="T33" s="53"/>
      <c r="U33" s="53">
        <f>Table1[[#This Row],[Summa]]+Table1[[#This Row],[I Muudatus]]+Table1[[#This Row],[II Muudatus]]</f>
        <v>17400</v>
      </c>
    </row>
    <row r="34" spans="1:21" ht="14.25" hidden="1" customHeight="1" x14ac:dyDescent="0.25">
      <c r="A34" s="41" t="s">
        <v>317</v>
      </c>
      <c r="B34" s="41">
        <v>7848</v>
      </c>
      <c r="C34" s="52">
        <v>5002</v>
      </c>
      <c r="D34" s="52" t="str">
        <f>LEFT(Table1[[#This Row],[Eelarvekonto]],2)</f>
        <v>50</v>
      </c>
      <c r="E34" s="41" t="str">
        <f>VLOOKUP(Table1[[#This Row],[Eelarvekonto]],Table5[[Konto]:[Konto nimetus]],2,FALSE)</f>
        <v>Töötajate töötasud</v>
      </c>
      <c r="F34" s="41" t="s">
        <v>139</v>
      </c>
      <c r="G34" s="41" t="s">
        <v>24</v>
      </c>
      <c r="J34" s="41" t="s">
        <v>252</v>
      </c>
      <c r="K34" s="41" t="s">
        <v>251</v>
      </c>
      <c r="L34" s="58" t="s">
        <v>250</v>
      </c>
      <c r="M34" s="58" t="str">
        <f>LEFT(Table1[[#This Row],[Tegevusala kood]],2)</f>
        <v>09</v>
      </c>
      <c r="N34" s="41" t="str">
        <f>VLOOKUP(Table1[[#This Row],[Tegevusala kood]],Table4[[Tegevusala kood]:[Tegevusala alanimetus]],2,FALSE)</f>
        <v>Vinni-Pajusti Gümnaasium</v>
      </c>
      <c r="O34" s="41" t="s">
        <v>1</v>
      </c>
      <c r="P34" s="41" t="s">
        <v>1</v>
      </c>
      <c r="Q34" s="41" t="str">
        <f>VLOOKUP(Table1[[#This Row],[Eelarvekonto]],Table5[[Konto]:[Kontode alanimetus]],5,FALSE)</f>
        <v>Tööjõukulud</v>
      </c>
      <c r="R34" s="42" t="str">
        <f>VLOOKUP(Table1[[#This Row],[Tegevusala kood]],Table4[[Tegevusala kood]:[Tegevusala alanimetus]],4,FALSE)</f>
        <v>Põhihariduse otsekulud</v>
      </c>
      <c r="S34" s="53"/>
      <c r="T34" s="53"/>
      <c r="U34" s="53">
        <f>Table1[[#This Row],[Summa]]+Table1[[#This Row],[I Muudatus]]+Table1[[#This Row],[II Muudatus]]</f>
        <v>7848</v>
      </c>
    </row>
    <row r="35" spans="1:21" ht="14.25" hidden="1" customHeight="1" x14ac:dyDescent="0.25">
      <c r="A35" s="41" t="s">
        <v>517</v>
      </c>
      <c r="B35" s="41">
        <v>18780</v>
      </c>
      <c r="C35" s="52">
        <v>5002</v>
      </c>
      <c r="D35" s="52" t="str">
        <f>LEFT(Table1[[#This Row],[Eelarvekonto]],2)</f>
        <v>50</v>
      </c>
      <c r="E35" s="41" t="str">
        <f>VLOOKUP(Table1[[#This Row],[Eelarvekonto]],Table5[[Konto]:[Konto nimetus]],2,FALSE)</f>
        <v>Töötajate töötasud</v>
      </c>
      <c r="F35" s="41" t="s">
        <v>139</v>
      </c>
      <c r="G35" s="41" t="s">
        <v>24</v>
      </c>
      <c r="J35" s="41" t="s">
        <v>252</v>
      </c>
      <c r="K35" s="41" t="s">
        <v>251</v>
      </c>
      <c r="L35" s="58" t="s">
        <v>250</v>
      </c>
      <c r="M35" s="58" t="str">
        <f>LEFT(Table1[[#This Row],[Tegevusala kood]],2)</f>
        <v>09</v>
      </c>
      <c r="N35" s="41" t="str">
        <f>VLOOKUP(Table1[[#This Row],[Tegevusala kood]],Table4[[Tegevusala kood]:[Tegevusala alanimetus]],2,FALSE)</f>
        <v>Vinni-Pajusti Gümnaasium</v>
      </c>
      <c r="O35" s="41" t="s">
        <v>1</v>
      </c>
      <c r="P35" s="41" t="s">
        <v>1</v>
      </c>
      <c r="Q35" s="41" t="str">
        <f>VLOOKUP(Table1[[#This Row],[Eelarvekonto]],Table5[[Konto]:[Kontode alanimetus]],5,FALSE)</f>
        <v>Tööjõukulud</v>
      </c>
      <c r="R35" s="42" t="str">
        <f>VLOOKUP(Table1[[#This Row],[Tegevusala kood]],Table4[[Tegevusala kood]:[Tegevusala alanimetus]],4,FALSE)</f>
        <v>Põhihariduse otsekulud</v>
      </c>
      <c r="S35" s="53"/>
      <c r="T35" s="53"/>
      <c r="U35" s="53">
        <f>Table1[[#This Row],[Summa]]+Table1[[#This Row],[I Muudatus]]+Table1[[#This Row],[II Muudatus]]</f>
        <v>18780</v>
      </c>
    </row>
    <row r="36" spans="1:21" ht="14.25" hidden="1" customHeight="1" x14ac:dyDescent="0.25">
      <c r="A36" s="41" t="s">
        <v>516</v>
      </c>
      <c r="B36" s="41">
        <v>15780</v>
      </c>
      <c r="C36" s="52">
        <v>5002</v>
      </c>
      <c r="D36" s="52" t="str">
        <f>LEFT(Table1[[#This Row],[Eelarvekonto]],2)</f>
        <v>50</v>
      </c>
      <c r="E36" s="41" t="str">
        <f>VLOOKUP(Table1[[#This Row],[Eelarvekonto]],Table5[[Konto]:[Konto nimetus]],2,FALSE)</f>
        <v>Töötajate töötasud</v>
      </c>
      <c r="F36" s="41" t="s">
        <v>139</v>
      </c>
      <c r="G36" s="41" t="s">
        <v>24</v>
      </c>
      <c r="J36" s="41" t="s">
        <v>252</v>
      </c>
      <c r="K36" s="41" t="s">
        <v>251</v>
      </c>
      <c r="L36" s="58" t="s">
        <v>250</v>
      </c>
      <c r="M36" s="58" t="str">
        <f>LEFT(Table1[[#This Row],[Tegevusala kood]],2)</f>
        <v>09</v>
      </c>
      <c r="N36" s="41" t="str">
        <f>VLOOKUP(Table1[[#This Row],[Tegevusala kood]],Table4[[Tegevusala kood]:[Tegevusala alanimetus]],2,FALSE)</f>
        <v>Vinni-Pajusti Gümnaasium</v>
      </c>
      <c r="O36" s="41" t="s">
        <v>1</v>
      </c>
      <c r="P36" s="41" t="s">
        <v>1</v>
      </c>
      <c r="Q36" s="41" t="str">
        <f>VLOOKUP(Table1[[#This Row],[Eelarvekonto]],Table5[[Konto]:[Kontode alanimetus]],5,FALSE)</f>
        <v>Tööjõukulud</v>
      </c>
      <c r="R36" s="42" t="str">
        <f>VLOOKUP(Table1[[#This Row],[Tegevusala kood]],Table4[[Tegevusala kood]:[Tegevusala alanimetus]],4,FALSE)</f>
        <v>Põhihariduse otsekulud</v>
      </c>
      <c r="S36" s="53"/>
      <c r="T36" s="53"/>
      <c r="U36" s="53">
        <f>Table1[[#This Row],[Summa]]+Table1[[#This Row],[I Muudatus]]+Table1[[#This Row],[II Muudatus]]</f>
        <v>15780</v>
      </c>
    </row>
    <row r="37" spans="1:21" ht="14.25" hidden="1" customHeight="1" x14ac:dyDescent="0.25">
      <c r="A37" s="41" t="s">
        <v>493</v>
      </c>
      <c r="B37" s="41">
        <v>7800</v>
      </c>
      <c r="C37" s="52">
        <v>5002</v>
      </c>
      <c r="D37" s="52" t="str">
        <f>LEFT(Table1[[#This Row],[Eelarvekonto]],2)</f>
        <v>50</v>
      </c>
      <c r="E37" s="41" t="str">
        <f>VLOOKUP(Table1[[#This Row],[Eelarvekonto]],Table5[[Konto]:[Konto nimetus]],2,FALSE)</f>
        <v>Töötajate töötasud</v>
      </c>
      <c r="F37" s="41" t="s">
        <v>139</v>
      </c>
      <c r="G37" s="41" t="s">
        <v>24</v>
      </c>
      <c r="J37" s="41" t="s">
        <v>252</v>
      </c>
      <c r="K37" s="41" t="s">
        <v>251</v>
      </c>
      <c r="L37" s="58" t="s">
        <v>250</v>
      </c>
      <c r="M37" s="58" t="str">
        <f>LEFT(Table1[[#This Row],[Tegevusala kood]],2)</f>
        <v>09</v>
      </c>
      <c r="N37" s="41" t="str">
        <f>VLOOKUP(Table1[[#This Row],[Tegevusala kood]],Table4[[Tegevusala kood]:[Tegevusala alanimetus]],2,FALSE)</f>
        <v>Vinni-Pajusti Gümnaasium</v>
      </c>
      <c r="O37" s="41" t="s">
        <v>1</v>
      </c>
      <c r="P37" s="41" t="s">
        <v>1</v>
      </c>
      <c r="Q37" s="41" t="str">
        <f>VLOOKUP(Table1[[#This Row],[Eelarvekonto]],Table5[[Konto]:[Kontode alanimetus]],5,FALSE)</f>
        <v>Tööjõukulud</v>
      </c>
      <c r="R37" s="42" t="str">
        <f>VLOOKUP(Table1[[#This Row],[Tegevusala kood]],Table4[[Tegevusala kood]:[Tegevusala alanimetus]],4,FALSE)</f>
        <v>Põhihariduse otsekulud</v>
      </c>
      <c r="S37" s="53"/>
      <c r="T37" s="53"/>
      <c r="U37" s="53">
        <f>Table1[[#This Row],[Summa]]+Table1[[#This Row],[I Muudatus]]+Table1[[#This Row],[II Muudatus]]</f>
        <v>7800</v>
      </c>
    </row>
    <row r="38" spans="1:21" ht="14.25" hidden="1" customHeight="1" x14ac:dyDescent="0.25">
      <c r="A38" s="41" t="s">
        <v>515</v>
      </c>
      <c r="B38" s="41">
        <v>13440</v>
      </c>
      <c r="C38" s="52">
        <v>5002</v>
      </c>
      <c r="D38" s="52" t="str">
        <f>LEFT(Table1[[#This Row],[Eelarvekonto]],2)</f>
        <v>50</v>
      </c>
      <c r="E38" s="41" t="str">
        <f>VLOOKUP(Table1[[#This Row],[Eelarvekonto]],Table5[[Konto]:[Konto nimetus]],2,FALSE)</f>
        <v>Töötajate töötasud</v>
      </c>
      <c r="F38" s="41" t="s">
        <v>139</v>
      </c>
      <c r="G38" s="41" t="s">
        <v>24</v>
      </c>
      <c r="J38" s="41" t="s">
        <v>252</v>
      </c>
      <c r="K38" s="41" t="s">
        <v>251</v>
      </c>
      <c r="L38" s="58" t="s">
        <v>250</v>
      </c>
      <c r="M38" s="58" t="str">
        <f>LEFT(Table1[[#This Row],[Tegevusala kood]],2)</f>
        <v>09</v>
      </c>
      <c r="N38" s="41" t="str">
        <f>VLOOKUP(Table1[[#This Row],[Tegevusala kood]],Table4[[Tegevusala kood]:[Tegevusala alanimetus]],2,FALSE)</f>
        <v>Vinni-Pajusti Gümnaasium</v>
      </c>
      <c r="O38" s="41" t="s">
        <v>1</v>
      </c>
      <c r="P38" s="41" t="s">
        <v>1</v>
      </c>
      <c r="Q38" s="41" t="str">
        <f>VLOOKUP(Table1[[#This Row],[Eelarvekonto]],Table5[[Konto]:[Kontode alanimetus]],5,FALSE)</f>
        <v>Tööjõukulud</v>
      </c>
      <c r="R38" s="42" t="str">
        <f>VLOOKUP(Table1[[#This Row],[Tegevusala kood]],Table4[[Tegevusala kood]:[Tegevusala alanimetus]],4,FALSE)</f>
        <v>Põhihariduse otsekulud</v>
      </c>
      <c r="S38" s="53"/>
      <c r="T38" s="53"/>
      <c r="U38" s="53">
        <f>Table1[[#This Row],[Summa]]+Table1[[#This Row],[I Muudatus]]+Table1[[#This Row],[II Muudatus]]</f>
        <v>13440</v>
      </c>
    </row>
    <row r="39" spans="1:21" ht="14.25" hidden="1" customHeight="1" x14ac:dyDescent="0.25">
      <c r="A39" s="41" t="s">
        <v>508</v>
      </c>
      <c r="B39" s="41">
        <v>7080</v>
      </c>
      <c r="C39" s="52">
        <v>5002</v>
      </c>
      <c r="D39" s="41" t="str">
        <f>LEFT(Table1[[#This Row],[Eelarvekonto]],2)</f>
        <v>50</v>
      </c>
      <c r="E39" s="41" t="str">
        <f>VLOOKUP(Table1[[#This Row],[Eelarvekonto]],Table5[[Konto]:[Konto nimetus]],2,FALSE)</f>
        <v>Töötajate töötasud</v>
      </c>
      <c r="F39" s="41" t="s">
        <v>139</v>
      </c>
      <c r="G39" s="41" t="s">
        <v>24</v>
      </c>
      <c r="J39" s="41" t="s">
        <v>252</v>
      </c>
      <c r="K39" s="41" t="s">
        <v>251</v>
      </c>
      <c r="L39" s="58" t="s">
        <v>250</v>
      </c>
      <c r="M39" s="58" t="str">
        <f>LEFT(Table1[[#This Row],[Tegevusala kood]],2)</f>
        <v>09</v>
      </c>
      <c r="N39" s="41" t="str">
        <f>VLOOKUP(Table1[[#This Row],[Tegevusala kood]],Table4[[Tegevusala kood]:[Tegevusala alanimetus]],2,FALSE)</f>
        <v>Vinni-Pajusti Gümnaasium</v>
      </c>
      <c r="O39" s="41" t="s">
        <v>1</v>
      </c>
      <c r="P39" s="41" t="s">
        <v>1</v>
      </c>
      <c r="Q39" s="41" t="str">
        <f>VLOOKUP(Table1[[#This Row],[Eelarvekonto]],Table5[[Konto]:[Kontode alanimetus]],5,FALSE)</f>
        <v>Tööjõukulud</v>
      </c>
      <c r="R39" s="42" t="str">
        <f>VLOOKUP(Table1[[#This Row],[Tegevusala kood]],Table4[[Tegevusala kood]:[Tegevusala alanimetus]],4,FALSE)</f>
        <v>Põhihariduse otsekulud</v>
      </c>
      <c r="S39" s="53"/>
      <c r="T39" s="53"/>
      <c r="U39" s="53">
        <f>Table1[[#This Row],[Summa]]+Table1[[#This Row],[I Muudatus]]+Table1[[#This Row],[II Muudatus]]</f>
        <v>7080</v>
      </c>
    </row>
    <row r="40" spans="1:21" ht="14.25" hidden="1" customHeight="1" x14ac:dyDescent="0.25">
      <c r="A40" s="41" t="s">
        <v>514</v>
      </c>
      <c r="B40" s="41">
        <v>7848</v>
      </c>
      <c r="C40" s="52">
        <v>5002</v>
      </c>
      <c r="D40" s="41" t="str">
        <f>LEFT(Table1[[#This Row],[Eelarvekonto]],2)</f>
        <v>50</v>
      </c>
      <c r="E40" s="41" t="str">
        <f>VLOOKUP(Table1[[#This Row],[Eelarvekonto]],Table5[[Konto]:[Konto nimetus]],2,FALSE)</f>
        <v>Töötajate töötasud</v>
      </c>
      <c r="F40" s="41" t="s">
        <v>139</v>
      </c>
      <c r="G40" s="41" t="s">
        <v>24</v>
      </c>
      <c r="J40" s="41" t="s">
        <v>252</v>
      </c>
      <c r="K40" s="41" t="s">
        <v>251</v>
      </c>
      <c r="L40" s="58" t="s">
        <v>250</v>
      </c>
      <c r="M40" s="58" t="str">
        <f>LEFT(Table1[[#This Row],[Tegevusala kood]],2)</f>
        <v>09</v>
      </c>
      <c r="N40" s="41" t="str">
        <f>VLOOKUP(Table1[[#This Row],[Tegevusala kood]],Table4[[Tegevusala kood]:[Tegevusala alanimetus]],2,FALSE)</f>
        <v>Vinni-Pajusti Gümnaasium</v>
      </c>
      <c r="O40" s="41" t="s">
        <v>1</v>
      </c>
      <c r="P40" s="41" t="s">
        <v>1</v>
      </c>
      <c r="Q40" s="41" t="str">
        <f>VLOOKUP(Table1[[#This Row],[Eelarvekonto]],Table5[[Konto]:[Kontode alanimetus]],5,FALSE)</f>
        <v>Tööjõukulud</v>
      </c>
      <c r="R40" s="42" t="str">
        <f>VLOOKUP(Table1[[#This Row],[Tegevusala kood]],Table4[[Tegevusala kood]:[Tegevusala alanimetus]],4,FALSE)</f>
        <v>Põhihariduse otsekulud</v>
      </c>
      <c r="S40" s="53"/>
      <c r="T40" s="53"/>
      <c r="U40" s="53">
        <f>Table1[[#This Row],[Summa]]+Table1[[#This Row],[I Muudatus]]+Table1[[#This Row],[II Muudatus]]</f>
        <v>7848</v>
      </c>
    </row>
    <row r="41" spans="1:21" ht="14.25" hidden="1" customHeight="1" x14ac:dyDescent="0.25">
      <c r="A41" s="41" t="s">
        <v>470</v>
      </c>
      <c r="B41" s="41">
        <v>7200</v>
      </c>
      <c r="C41" s="52">
        <v>5002</v>
      </c>
      <c r="D41" s="52" t="str">
        <f>LEFT(Table1[[#This Row],[Eelarvekonto]],2)</f>
        <v>50</v>
      </c>
      <c r="E41" s="41" t="str">
        <f>VLOOKUP(Table1[[#This Row],[Eelarvekonto]],Table5[[Konto]:[Konto nimetus]],2,FALSE)</f>
        <v>Töötajate töötasud</v>
      </c>
      <c r="F41" s="41" t="s">
        <v>139</v>
      </c>
      <c r="G41" s="41" t="s">
        <v>24</v>
      </c>
      <c r="J41" s="41" t="s">
        <v>306</v>
      </c>
      <c r="K41" s="41" t="s">
        <v>304</v>
      </c>
      <c r="L41" s="58" t="s">
        <v>305</v>
      </c>
      <c r="M41" s="58" t="str">
        <f>LEFT(Table1[[#This Row],[Tegevusala kood]],2)</f>
        <v>09</v>
      </c>
      <c r="N41" s="41" t="str">
        <f>VLOOKUP(Table1[[#This Row],[Tegevusala kood]],Table4[[Tegevusala kood]:[Tegevusala alanimetus]],2,FALSE)</f>
        <v>Vinni Lasteaed</v>
      </c>
      <c r="O41" s="41" t="s">
        <v>1</v>
      </c>
      <c r="P41" s="41" t="s">
        <v>1</v>
      </c>
      <c r="Q41" s="41" t="str">
        <f>VLOOKUP(Table1[[#This Row],[Eelarvekonto]],Table5[[Konto]:[Kontode alanimetus]],5,FALSE)</f>
        <v>Tööjõukulud</v>
      </c>
      <c r="R41" s="42" t="str">
        <f>VLOOKUP(Table1[[#This Row],[Tegevusala kood]],Table4[[Tegevusala kood]:[Tegevusala alanimetus]],4,FALSE)</f>
        <v>Alusharidus</v>
      </c>
      <c r="S41" s="53"/>
      <c r="T41" s="53"/>
      <c r="U41" s="53">
        <f>Table1[[#This Row],[Summa]]+Table1[[#This Row],[I Muudatus]]+Table1[[#This Row],[II Muudatus]]</f>
        <v>7200</v>
      </c>
    </row>
    <row r="42" spans="1:21" ht="14.25" hidden="1" customHeight="1" x14ac:dyDescent="0.25">
      <c r="A42" s="41" t="s">
        <v>1519</v>
      </c>
      <c r="B42" s="41">
        <f>(350+327)*12</f>
        <v>8124</v>
      </c>
      <c r="C42" s="52">
        <v>5002</v>
      </c>
      <c r="D42" s="41" t="str">
        <f>LEFT(Table1[[#This Row],[Eelarvekonto]],2)</f>
        <v>50</v>
      </c>
      <c r="E42" s="41" t="str">
        <f>VLOOKUP(Table1[[#This Row],[Eelarvekonto]],Table5[[Konto]:[Konto nimetus]],2,FALSE)</f>
        <v>Töötajate töötasud</v>
      </c>
      <c r="F42" s="41" t="s">
        <v>139</v>
      </c>
      <c r="G42" s="41" t="s">
        <v>24</v>
      </c>
      <c r="J42" s="41" t="s">
        <v>252</v>
      </c>
      <c r="K42" s="41" t="s">
        <v>251</v>
      </c>
      <c r="L42" s="58" t="s">
        <v>250</v>
      </c>
      <c r="M42" s="58" t="str">
        <f>LEFT(Table1[[#This Row],[Tegevusala kood]],2)</f>
        <v>09</v>
      </c>
      <c r="N42" s="41" t="str">
        <f>VLOOKUP(Table1[[#This Row],[Tegevusala kood]],Table4[[Tegevusala kood]:[Tegevusala alanimetus]],2,FALSE)</f>
        <v>Vinni-Pajusti Gümnaasium</v>
      </c>
      <c r="O42" s="41" t="s">
        <v>1</v>
      </c>
      <c r="P42" s="41" t="s">
        <v>1</v>
      </c>
      <c r="Q42" s="41" t="str">
        <f>VLOOKUP(Table1[[#This Row],[Eelarvekonto]],Table5[[Konto]:[Kontode alanimetus]],5,FALSE)</f>
        <v>Tööjõukulud</v>
      </c>
      <c r="R42" s="42" t="str">
        <f>VLOOKUP(Table1[[#This Row],[Tegevusala kood]],Table4[[Tegevusala kood]:[Tegevusala alanimetus]],4,FALSE)</f>
        <v>Põhihariduse otsekulud</v>
      </c>
      <c r="S42" s="53"/>
      <c r="T42" s="53"/>
      <c r="U42" s="53">
        <f>Table1[[#This Row],[Summa]]+Table1[[#This Row],[I Muudatus]]+Table1[[#This Row],[II Muudatus]]</f>
        <v>8124</v>
      </c>
    </row>
    <row r="43" spans="1:21" ht="14.25" hidden="1" customHeight="1" x14ac:dyDescent="0.25">
      <c r="A43" s="41" t="s">
        <v>511</v>
      </c>
      <c r="B43" s="41">
        <v>15000</v>
      </c>
      <c r="C43" s="52">
        <v>5002</v>
      </c>
      <c r="D43" s="41" t="str">
        <f>LEFT(Table1[[#This Row],[Eelarvekonto]],2)</f>
        <v>50</v>
      </c>
      <c r="E43" s="41" t="str">
        <f>VLOOKUP(Table1[[#This Row],[Eelarvekonto]],Table5[[Konto]:[Konto nimetus]],2,FALSE)</f>
        <v>Töötajate töötasud</v>
      </c>
      <c r="F43" s="41" t="s">
        <v>139</v>
      </c>
      <c r="G43" s="41" t="s">
        <v>24</v>
      </c>
      <c r="J43" s="41" t="s">
        <v>252</v>
      </c>
      <c r="K43" s="41" t="s">
        <v>251</v>
      </c>
      <c r="L43" s="58" t="s">
        <v>250</v>
      </c>
      <c r="M43" s="58" t="str">
        <f>LEFT(Table1[[#This Row],[Tegevusala kood]],2)</f>
        <v>09</v>
      </c>
      <c r="N43" s="41" t="str">
        <f>VLOOKUP(Table1[[#This Row],[Tegevusala kood]],Table4[[Tegevusala kood]:[Tegevusala alanimetus]],2,FALSE)</f>
        <v>Vinni-Pajusti Gümnaasium</v>
      </c>
      <c r="O43" s="41" t="s">
        <v>1</v>
      </c>
      <c r="P43" s="41" t="s">
        <v>1</v>
      </c>
      <c r="Q43" s="41" t="str">
        <f>VLOOKUP(Table1[[#This Row],[Eelarvekonto]],Table5[[Konto]:[Kontode alanimetus]],5,FALSE)</f>
        <v>Tööjõukulud</v>
      </c>
      <c r="R43" s="42" t="str">
        <f>VLOOKUP(Table1[[#This Row],[Tegevusala kood]],Table4[[Tegevusala kood]:[Tegevusala alanimetus]],4,FALSE)</f>
        <v>Põhihariduse otsekulud</v>
      </c>
      <c r="S43" s="53"/>
      <c r="T43" s="53"/>
      <c r="U43" s="53">
        <f>Table1[[#This Row],[Summa]]+Table1[[#This Row],[I Muudatus]]+Table1[[#This Row],[II Muudatus]]</f>
        <v>15000</v>
      </c>
    </row>
    <row r="44" spans="1:21" ht="14.25" hidden="1" customHeight="1" x14ac:dyDescent="0.25">
      <c r="A44" s="41" t="s">
        <v>510</v>
      </c>
      <c r="B44" s="41">
        <v>7848</v>
      </c>
      <c r="C44" s="52">
        <v>5002</v>
      </c>
      <c r="D44" s="41" t="str">
        <f>LEFT(Table1[[#This Row],[Eelarvekonto]],2)</f>
        <v>50</v>
      </c>
      <c r="E44" s="41" t="str">
        <f>VLOOKUP(Table1[[#This Row],[Eelarvekonto]],Table5[[Konto]:[Konto nimetus]],2,FALSE)</f>
        <v>Töötajate töötasud</v>
      </c>
      <c r="F44" s="41" t="s">
        <v>139</v>
      </c>
      <c r="G44" s="41" t="s">
        <v>24</v>
      </c>
      <c r="J44" s="41" t="s">
        <v>252</v>
      </c>
      <c r="K44" s="41" t="s">
        <v>251</v>
      </c>
      <c r="L44" s="58" t="s">
        <v>250</v>
      </c>
      <c r="M44" s="58" t="str">
        <f>LEFT(Table1[[#This Row],[Tegevusala kood]],2)</f>
        <v>09</v>
      </c>
      <c r="N44" s="41" t="str">
        <f>VLOOKUP(Table1[[#This Row],[Tegevusala kood]],Table4[[Tegevusala kood]:[Tegevusala alanimetus]],2,FALSE)</f>
        <v>Vinni-Pajusti Gümnaasium</v>
      </c>
      <c r="O44" s="41" t="s">
        <v>1</v>
      </c>
      <c r="P44" s="41" t="s">
        <v>1</v>
      </c>
      <c r="Q44" s="41" t="str">
        <f>VLOOKUP(Table1[[#This Row],[Eelarvekonto]],Table5[[Konto]:[Kontode alanimetus]],5,FALSE)</f>
        <v>Tööjõukulud</v>
      </c>
      <c r="R44" s="42" t="str">
        <f>VLOOKUP(Table1[[#This Row],[Tegevusala kood]],Table4[[Tegevusala kood]:[Tegevusala alanimetus]],4,FALSE)</f>
        <v>Põhihariduse otsekulud</v>
      </c>
      <c r="S44" s="53"/>
      <c r="T44" s="53"/>
      <c r="U44" s="53">
        <f>Table1[[#This Row],[Summa]]+Table1[[#This Row],[I Muudatus]]+Table1[[#This Row],[II Muudatus]]</f>
        <v>7848</v>
      </c>
    </row>
    <row r="45" spans="1:21" ht="14.25" hidden="1" customHeight="1" x14ac:dyDescent="0.25">
      <c r="A45" s="41" t="s">
        <v>509</v>
      </c>
      <c r="B45" s="41">
        <v>8400</v>
      </c>
      <c r="C45" s="52">
        <v>5002</v>
      </c>
      <c r="D45" s="41" t="str">
        <f>LEFT(Table1[[#This Row],[Eelarvekonto]],2)</f>
        <v>50</v>
      </c>
      <c r="E45" s="41" t="str">
        <f>VLOOKUP(Table1[[#This Row],[Eelarvekonto]],Table5[[Konto]:[Konto nimetus]],2,FALSE)</f>
        <v>Töötajate töötasud</v>
      </c>
      <c r="F45" s="41" t="s">
        <v>139</v>
      </c>
      <c r="G45" s="41" t="s">
        <v>24</v>
      </c>
      <c r="J45" s="41" t="s">
        <v>252</v>
      </c>
      <c r="K45" s="41" t="s">
        <v>251</v>
      </c>
      <c r="L45" s="58" t="s">
        <v>250</v>
      </c>
      <c r="M45" s="58" t="str">
        <f>LEFT(Table1[[#This Row],[Tegevusala kood]],2)</f>
        <v>09</v>
      </c>
      <c r="N45" s="41" t="str">
        <f>VLOOKUP(Table1[[#This Row],[Tegevusala kood]],Table4[[Tegevusala kood]:[Tegevusala alanimetus]],2,FALSE)</f>
        <v>Vinni-Pajusti Gümnaasium</v>
      </c>
      <c r="O45" s="41" t="s">
        <v>1</v>
      </c>
      <c r="P45" s="41" t="s">
        <v>1</v>
      </c>
      <c r="Q45" s="41" t="str">
        <f>VLOOKUP(Table1[[#This Row],[Eelarvekonto]],Table5[[Konto]:[Kontode alanimetus]],5,FALSE)</f>
        <v>Tööjõukulud</v>
      </c>
      <c r="R45" s="42" t="str">
        <f>VLOOKUP(Table1[[#This Row],[Tegevusala kood]],Table4[[Tegevusala kood]:[Tegevusala alanimetus]],4,FALSE)</f>
        <v>Põhihariduse otsekulud</v>
      </c>
      <c r="S45" s="53"/>
      <c r="T45" s="53"/>
      <c r="U45" s="53">
        <f>Table1[[#This Row],[Summa]]+Table1[[#This Row],[I Muudatus]]+Table1[[#This Row],[II Muudatus]]</f>
        <v>8400</v>
      </c>
    </row>
    <row r="46" spans="1:21" ht="14.25" hidden="1" customHeight="1" x14ac:dyDescent="0.25">
      <c r="A46" s="41" t="s">
        <v>461</v>
      </c>
      <c r="B46" s="41">
        <v>13200</v>
      </c>
      <c r="C46" s="52">
        <v>5002</v>
      </c>
      <c r="D46" s="52" t="str">
        <f>LEFT(Table1[[#This Row],[Eelarvekonto]],2)</f>
        <v>50</v>
      </c>
      <c r="E46" s="41" t="str">
        <f>VLOOKUP(Table1[[#This Row],[Eelarvekonto]],Table5[[Konto]:[Konto nimetus]],2,FALSE)</f>
        <v>Töötajate töötasud</v>
      </c>
      <c r="F46" s="41" t="s">
        <v>139</v>
      </c>
      <c r="G46" s="41" t="s">
        <v>24</v>
      </c>
      <c r="J46" s="41" t="s">
        <v>252</v>
      </c>
      <c r="K46" s="41" t="s">
        <v>251</v>
      </c>
      <c r="L46" s="58" t="s">
        <v>250</v>
      </c>
      <c r="M46" s="58" t="str">
        <f>LEFT(Table1[[#This Row],[Tegevusala kood]],2)</f>
        <v>09</v>
      </c>
      <c r="N46" s="41" t="str">
        <f>VLOOKUP(Table1[[#This Row],[Tegevusala kood]],Table4[[Tegevusala kood]:[Tegevusala alanimetus]],2,FALSE)</f>
        <v>Vinni-Pajusti Gümnaasium</v>
      </c>
      <c r="O46" s="41" t="s">
        <v>1</v>
      </c>
      <c r="P46" s="41" t="s">
        <v>1</v>
      </c>
      <c r="Q46" s="41" t="str">
        <f>VLOOKUP(Table1[[#This Row],[Eelarvekonto]],Table5[[Konto]:[Kontode alanimetus]],5,FALSE)</f>
        <v>Tööjõukulud</v>
      </c>
      <c r="R46" s="42" t="str">
        <f>VLOOKUP(Table1[[#This Row],[Tegevusala kood]],Table4[[Tegevusala kood]:[Tegevusala alanimetus]],4,FALSE)</f>
        <v>Põhihariduse otsekulud</v>
      </c>
      <c r="S46" s="53"/>
      <c r="T46" s="53"/>
      <c r="U46" s="53">
        <f>Table1[[#This Row],[Summa]]+Table1[[#This Row],[I Muudatus]]+Table1[[#This Row],[II Muudatus]]</f>
        <v>13200</v>
      </c>
    </row>
    <row r="47" spans="1:21" ht="14.25" hidden="1" customHeight="1" x14ac:dyDescent="0.25">
      <c r="A47" s="41" t="s">
        <v>301</v>
      </c>
      <c r="B47" s="41">
        <v>15780</v>
      </c>
      <c r="C47" s="52">
        <v>5002</v>
      </c>
      <c r="D47" s="52" t="str">
        <f>LEFT(Table1[[#This Row],[Eelarvekonto]],2)</f>
        <v>50</v>
      </c>
      <c r="E47" s="41" t="str">
        <f>VLOOKUP(Table1[[#This Row],[Eelarvekonto]],Table5[[Konto]:[Konto nimetus]],2,FALSE)</f>
        <v>Töötajate töötasud</v>
      </c>
      <c r="F47" s="41" t="s">
        <v>139</v>
      </c>
      <c r="G47" s="41" t="s">
        <v>24</v>
      </c>
      <c r="J47" s="41" t="s">
        <v>252</v>
      </c>
      <c r="K47" s="41" t="s">
        <v>251</v>
      </c>
      <c r="L47" s="58" t="s">
        <v>250</v>
      </c>
      <c r="M47" s="58" t="str">
        <f>LEFT(Table1[[#This Row],[Tegevusala kood]],2)</f>
        <v>09</v>
      </c>
      <c r="N47" s="41" t="str">
        <f>VLOOKUP(Table1[[#This Row],[Tegevusala kood]],Table4[[Tegevusala kood]:[Tegevusala alanimetus]],2,FALSE)</f>
        <v>Vinni-Pajusti Gümnaasium</v>
      </c>
      <c r="O47" s="41" t="s">
        <v>1</v>
      </c>
      <c r="P47" s="41" t="s">
        <v>1</v>
      </c>
      <c r="Q47" s="41" t="str">
        <f>VLOOKUP(Table1[[#This Row],[Eelarvekonto]],Table5[[Konto]:[Kontode alanimetus]],5,FALSE)</f>
        <v>Tööjõukulud</v>
      </c>
      <c r="R47" s="42" t="str">
        <f>VLOOKUP(Table1[[#This Row],[Tegevusala kood]],Table4[[Tegevusala kood]:[Tegevusala alanimetus]],4,FALSE)</f>
        <v>Põhihariduse otsekulud</v>
      </c>
      <c r="S47" s="53"/>
      <c r="T47" s="53"/>
      <c r="U47" s="53">
        <f>Table1[[#This Row],[Summa]]+Table1[[#This Row],[I Muudatus]]+Table1[[#This Row],[II Muudatus]]</f>
        <v>15780</v>
      </c>
    </row>
    <row r="48" spans="1:21" ht="14.25" hidden="1" customHeight="1" x14ac:dyDescent="0.25">
      <c r="A48" s="41" t="s">
        <v>508</v>
      </c>
      <c r="B48" s="41">
        <v>7080</v>
      </c>
      <c r="C48" s="52">
        <v>5002</v>
      </c>
      <c r="D48" s="52" t="str">
        <f>LEFT(Table1[[#This Row],[Eelarvekonto]],2)</f>
        <v>50</v>
      </c>
      <c r="E48" s="41" t="str">
        <f>VLOOKUP(Table1[[#This Row],[Eelarvekonto]],Table5[[Konto]:[Konto nimetus]],2,FALSE)</f>
        <v>Töötajate töötasud</v>
      </c>
      <c r="F48" s="41" t="s">
        <v>139</v>
      </c>
      <c r="G48" s="41" t="s">
        <v>24</v>
      </c>
      <c r="J48" s="41" t="s">
        <v>252</v>
      </c>
      <c r="K48" s="41" t="s">
        <v>251</v>
      </c>
      <c r="L48" s="58" t="s">
        <v>250</v>
      </c>
      <c r="M48" s="58" t="str">
        <f>LEFT(Table1[[#This Row],[Tegevusala kood]],2)</f>
        <v>09</v>
      </c>
      <c r="N48" s="41" t="str">
        <f>VLOOKUP(Table1[[#This Row],[Tegevusala kood]],Table4[[Tegevusala kood]:[Tegevusala alanimetus]],2,FALSE)</f>
        <v>Vinni-Pajusti Gümnaasium</v>
      </c>
      <c r="O48" s="41" t="s">
        <v>1</v>
      </c>
      <c r="P48" s="41" t="s">
        <v>1</v>
      </c>
      <c r="Q48" s="41" t="str">
        <f>VLOOKUP(Table1[[#This Row],[Eelarvekonto]],Table5[[Konto]:[Kontode alanimetus]],5,FALSE)</f>
        <v>Tööjõukulud</v>
      </c>
      <c r="R48" s="42" t="str">
        <f>VLOOKUP(Table1[[#This Row],[Tegevusala kood]],Table4[[Tegevusala kood]:[Tegevusala alanimetus]],4,FALSE)</f>
        <v>Põhihariduse otsekulud</v>
      </c>
      <c r="S48" s="53"/>
      <c r="T48" s="53"/>
      <c r="U48" s="53">
        <f>Table1[[#This Row],[Summa]]+Table1[[#This Row],[I Muudatus]]+Table1[[#This Row],[II Muudatus]]</f>
        <v>7080</v>
      </c>
    </row>
    <row r="49" spans="1:21" ht="14.25" hidden="1" customHeight="1" x14ac:dyDescent="0.25">
      <c r="A49" s="41" t="s">
        <v>507</v>
      </c>
      <c r="B49" s="41">
        <v>7848</v>
      </c>
      <c r="C49" s="52">
        <v>5002</v>
      </c>
      <c r="D49" s="52" t="str">
        <f>LEFT(Table1[[#This Row],[Eelarvekonto]],2)</f>
        <v>50</v>
      </c>
      <c r="E49" s="41" t="str">
        <f>VLOOKUP(Table1[[#This Row],[Eelarvekonto]],Table5[[Konto]:[Konto nimetus]],2,FALSE)</f>
        <v>Töötajate töötasud</v>
      </c>
      <c r="F49" s="41" t="s">
        <v>139</v>
      </c>
      <c r="G49" s="41" t="s">
        <v>24</v>
      </c>
      <c r="J49" s="41" t="s">
        <v>252</v>
      </c>
      <c r="K49" s="41" t="s">
        <v>251</v>
      </c>
      <c r="L49" s="58" t="s">
        <v>250</v>
      </c>
      <c r="M49" s="58" t="str">
        <f>LEFT(Table1[[#This Row],[Tegevusala kood]],2)</f>
        <v>09</v>
      </c>
      <c r="N49" s="41" t="str">
        <f>VLOOKUP(Table1[[#This Row],[Tegevusala kood]],Table4[[Tegevusala kood]:[Tegevusala alanimetus]],2,FALSE)</f>
        <v>Vinni-Pajusti Gümnaasium</v>
      </c>
      <c r="O49" s="41" t="s">
        <v>1</v>
      </c>
      <c r="P49" s="41" t="s">
        <v>1</v>
      </c>
      <c r="Q49" s="41" t="str">
        <f>VLOOKUP(Table1[[#This Row],[Eelarvekonto]],Table5[[Konto]:[Kontode alanimetus]],5,FALSE)</f>
        <v>Tööjõukulud</v>
      </c>
      <c r="R49" s="42" t="str">
        <f>VLOOKUP(Table1[[#This Row],[Tegevusala kood]],Table4[[Tegevusala kood]:[Tegevusala alanimetus]],4,FALSE)</f>
        <v>Põhihariduse otsekulud</v>
      </c>
      <c r="S49" s="53"/>
      <c r="T49" s="53"/>
      <c r="U49" s="53">
        <f>Table1[[#This Row],[Summa]]+Table1[[#This Row],[I Muudatus]]+Table1[[#This Row],[II Muudatus]]</f>
        <v>7848</v>
      </c>
    </row>
    <row r="50" spans="1:21" ht="14.25" hidden="1" customHeight="1" x14ac:dyDescent="0.25">
      <c r="A50" s="41" t="s">
        <v>506</v>
      </c>
      <c r="B50" s="41">
        <v>15780</v>
      </c>
      <c r="C50" s="52">
        <v>5002</v>
      </c>
      <c r="D50" s="52" t="str">
        <f>LEFT(Table1[[#This Row],[Eelarvekonto]],2)</f>
        <v>50</v>
      </c>
      <c r="E50" s="41" t="str">
        <f>VLOOKUP(Table1[[#This Row],[Eelarvekonto]],Table5[[Konto]:[Konto nimetus]],2,FALSE)</f>
        <v>Töötajate töötasud</v>
      </c>
      <c r="F50" s="41" t="s">
        <v>139</v>
      </c>
      <c r="G50" s="41" t="s">
        <v>24</v>
      </c>
      <c r="J50" s="41" t="s">
        <v>252</v>
      </c>
      <c r="K50" s="41" t="s">
        <v>251</v>
      </c>
      <c r="L50" s="58" t="s">
        <v>250</v>
      </c>
      <c r="M50" s="58" t="str">
        <f>LEFT(Table1[[#This Row],[Tegevusala kood]],2)</f>
        <v>09</v>
      </c>
      <c r="N50" s="41" t="str">
        <f>VLOOKUP(Table1[[#This Row],[Tegevusala kood]],Table4[[Tegevusala kood]:[Tegevusala alanimetus]],2,FALSE)</f>
        <v>Vinni-Pajusti Gümnaasium</v>
      </c>
      <c r="O50" s="41" t="s">
        <v>1</v>
      </c>
      <c r="P50" s="41" t="s">
        <v>1</v>
      </c>
      <c r="Q50" s="41" t="str">
        <f>VLOOKUP(Table1[[#This Row],[Eelarvekonto]],Table5[[Konto]:[Kontode alanimetus]],5,FALSE)</f>
        <v>Tööjõukulud</v>
      </c>
      <c r="R50" s="42" t="str">
        <f>VLOOKUP(Table1[[#This Row],[Tegevusala kood]],Table4[[Tegevusala kood]:[Tegevusala alanimetus]],4,FALSE)</f>
        <v>Põhihariduse otsekulud</v>
      </c>
      <c r="S50" s="53"/>
      <c r="T50" s="53"/>
      <c r="U50" s="53">
        <f>Table1[[#This Row],[Summa]]+Table1[[#This Row],[I Muudatus]]+Table1[[#This Row],[II Muudatus]]</f>
        <v>15780</v>
      </c>
    </row>
    <row r="51" spans="1:21" ht="14.25" hidden="1" customHeight="1" x14ac:dyDescent="0.25">
      <c r="A51" s="41" t="s">
        <v>1009</v>
      </c>
      <c r="B51" s="41">
        <v>1752</v>
      </c>
      <c r="C51" s="52">
        <v>5002</v>
      </c>
      <c r="D51" s="52" t="str">
        <f>LEFT(Table1[[#This Row],[Eelarvekonto]],2)</f>
        <v>50</v>
      </c>
      <c r="E51" s="41" t="str">
        <f>VLOOKUP(Table1[[#This Row],[Eelarvekonto]],Table5[[Konto]:[Konto nimetus]],2,FALSE)</f>
        <v>Töötajate töötasud</v>
      </c>
      <c r="F51" s="41" t="s">
        <v>139</v>
      </c>
      <c r="G51" s="41" t="s">
        <v>24</v>
      </c>
      <c r="J51" s="41" t="s">
        <v>252</v>
      </c>
      <c r="K51" s="41" t="s">
        <v>251</v>
      </c>
      <c r="L51" s="58" t="s">
        <v>250</v>
      </c>
      <c r="M51" s="58" t="str">
        <f>LEFT(Table1[[#This Row],[Tegevusala kood]],2)</f>
        <v>09</v>
      </c>
      <c r="N51" s="41" t="str">
        <f>VLOOKUP(Table1[[#This Row],[Tegevusala kood]],Table4[[Tegevusala kood]:[Tegevusala alanimetus]],2,FALSE)</f>
        <v>Vinni-Pajusti Gümnaasium</v>
      </c>
      <c r="O51" s="41" t="s">
        <v>1</v>
      </c>
      <c r="P51" s="41" t="s">
        <v>1</v>
      </c>
      <c r="Q51" s="41" t="str">
        <f>VLOOKUP(Table1[[#This Row],[Eelarvekonto]],Table5[[Konto]:[Kontode alanimetus]],5,FALSE)</f>
        <v>Tööjõukulud</v>
      </c>
      <c r="R51" s="42" t="str">
        <f>VLOOKUP(Table1[[#This Row],[Tegevusala kood]],Table4[[Tegevusala kood]:[Tegevusala alanimetus]],4,FALSE)</f>
        <v>Põhihariduse otsekulud</v>
      </c>
      <c r="S51" s="53"/>
      <c r="T51" s="53"/>
      <c r="U51" s="53">
        <f>Table1[[#This Row],[Summa]]+Table1[[#This Row],[I Muudatus]]+Table1[[#This Row],[II Muudatus]]</f>
        <v>1752</v>
      </c>
    </row>
    <row r="52" spans="1:21" ht="14.25" hidden="1" customHeight="1" x14ac:dyDescent="0.25">
      <c r="A52" s="41" t="s">
        <v>1009</v>
      </c>
      <c r="B52" s="41">
        <v>912</v>
      </c>
      <c r="C52" s="52">
        <v>5002</v>
      </c>
      <c r="D52" s="52" t="str">
        <f>LEFT(Table1[[#This Row],[Eelarvekonto]],2)</f>
        <v>50</v>
      </c>
      <c r="E52" s="41" t="str">
        <f>VLOOKUP(Table1[[#This Row],[Eelarvekonto]],Table5[[Konto]:[Konto nimetus]],2,FALSE)</f>
        <v>Töötajate töötasud</v>
      </c>
      <c r="F52" s="41" t="s">
        <v>139</v>
      </c>
      <c r="G52" s="41" t="s">
        <v>24</v>
      </c>
      <c r="J52" s="41" t="s">
        <v>252</v>
      </c>
      <c r="K52" s="41" t="s">
        <v>251</v>
      </c>
      <c r="L52" s="58" t="s">
        <v>250</v>
      </c>
      <c r="M52" s="58" t="str">
        <f>LEFT(Table1[[#This Row],[Tegevusala kood]],2)</f>
        <v>09</v>
      </c>
      <c r="N52" s="41" t="str">
        <f>VLOOKUP(Table1[[#This Row],[Tegevusala kood]],Table4[[Tegevusala kood]:[Tegevusala alanimetus]],2,FALSE)</f>
        <v>Vinni-Pajusti Gümnaasium</v>
      </c>
      <c r="O52" s="41" t="s">
        <v>1</v>
      </c>
      <c r="P52" s="41" t="s">
        <v>1</v>
      </c>
      <c r="Q52" s="41" t="str">
        <f>VLOOKUP(Table1[[#This Row],[Eelarvekonto]],Table5[[Konto]:[Kontode alanimetus]],5,FALSE)</f>
        <v>Tööjõukulud</v>
      </c>
      <c r="R52" s="42" t="str">
        <f>VLOOKUP(Table1[[#This Row],[Tegevusala kood]],Table4[[Tegevusala kood]:[Tegevusala alanimetus]],4,FALSE)</f>
        <v>Põhihariduse otsekulud</v>
      </c>
      <c r="S52" s="53"/>
      <c r="T52" s="53"/>
      <c r="U52" s="53">
        <f>Table1[[#This Row],[Summa]]+Table1[[#This Row],[I Muudatus]]+Table1[[#This Row],[II Muudatus]]</f>
        <v>912</v>
      </c>
    </row>
    <row r="53" spans="1:21" ht="14.25" hidden="1" customHeight="1" x14ac:dyDescent="0.25">
      <c r="A53" s="41" t="s">
        <v>469</v>
      </c>
      <c r="B53" s="41">
        <v>47088</v>
      </c>
      <c r="C53" s="52">
        <v>5002</v>
      </c>
      <c r="D53" s="52" t="str">
        <f>LEFT(Table1[[#This Row],[Eelarvekonto]],2)</f>
        <v>50</v>
      </c>
      <c r="E53" s="41" t="str">
        <f>VLOOKUP(Table1[[#This Row],[Eelarvekonto]],Table5[[Konto]:[Konto nimetus]],2,FALSE)</f>
        <v>Töötajate töötasud</v>
      </c>
      <c r="F53" s="41" t="s">
        <v>139</v>
      </c>
      <c r="G53" s="41" t="s">
        <v>24</v>
      </c>
      <c r="J53" s="41" t="s">
        <v>252</v>
      </c>
      <c r="K53" s="41" t="s">
        <v>251</v>
      </c>
      <c r="L53" s="58" t="s">
        <v>250</v>
      </c>
      <c r="M53" s="58" t="str">
        <f>LEFT(Table1[[#This Row],[Tegevusala kood]],2)</f>
        <v>09</v>
      </c>
      <c r="N53" s="41" t="str">
        <f>VLOOKUP(Table1[[#This Row],[Tegevusala kood]],Table4[[Tegevusala kood]:[Tegevusala alanimetus]],2,FALSE)</f>
        <v>Vinni-Pajusti Gümnaasium</v>
      </c>
      <c r="O53" s="41" t="s">
        <v>1</v>
      </c>
      <c r="P53" s="41" t="s">
        <v>1</v>
      </c>
      <c r="Q53" s="41" t="str">
        <f>VLOOKUP(Table1[[#This Row],[Eelarvekonto]],Table5[[Konto]:[Kontode alanimetus]],5,FALSE)</f>
        <v>Tööjõukulud</v>
      </c>
      <c r="R53" s="42" t="str">
        <f>VLOOKUP(Table1[[#This Row],[Tegevusala kood]],Table4[[Tegevusala kood]:[Tegevusala alanimetus]],4,FALSE)</f>
        <v>Põhihariduse otsekulud</v>
      </c>
      <c r="S53" s="53"/>
      <c r="T53" s="53"/>
      <c r="U53" s="53">
        <f>Table1[[#This Row],[Summa]]+Table1[[#This Row],[I Muudatus]]+Table1[[#This Row],[II Muudatus]]</f>
        <v>47088</v>
      </c>
    </row>
    <row r="54" spans="1:21" ht="14.25" hidden="1" customHeight="1" x14ac:dyDescent="0.25">
      <c r="A54" s="41" t="s">
        <v>1010</v>
      </c>
      <c r="B54" s="41">
        <v>6720</v>
      </c>
      <c r="C54" s="52">
        <v>5002</v>
      </c>
      <c r="D54" s="52" t="str">
        <f>LEFT(Table1[[#This Row],[Eelarvekonto]],2)</f>
        <v>50</v>
      </c>
      <c r="E54" s="41" t="str">
        <f>VLOOKUP(Table1[[#This Row],[Eelarvekonto]],Table5[[Konto]:[Konto nimetus]],2,FALSE)</f>
        <v>Töötajate töötasud</v>
      </c>
      <c r="F54" s="41" t="s">
        <v>139</v>
      </c>
      <c r="G54" s="41" t="s">
        <v>24</v>
      </c>
      <c r="J54" s="41" t="s">
        <v>252</v>
      </c>
      <c r="K54" s="41" t="s">
        <v>251</v>
      </c>
      <c r="L54" s="58" t="s">
        <v>250</v>
      </c>
      <c r="M54" s="58" t="str">
        <f>LEFT(Table1[[#This Row],[Tegevusala kood]],2)</f>
        <v>09</v>
      </c>
      <c r="N54" s="41" t="str">
        <f>VLOOKUP(Table1[[#This Row],[Tegevusala kood]],Table4[[Tegevusala kood]:[Tegevusala alanimetus]],2,FALSE)</f>
        <v>Vinni-Pajusti Gümnaasium</v>
      </c>
      <c r="O54" s="41" t="s">
        <v>1</v>
      </c>
      <c r="P54" s="41" t="s">
        <v>1</v>
      </c>
      <c r="Q54" s="41" t="str">
        <f>VLOOKUP(Table1[[#This Row],[Eelarvekonto]],Table5[[Konto]:[Kontode alanimetus]],5,FALSE)</f>
        <v>Tööjõukulud</v>
      </c>
      <c r="R54" s="42" t="str">
        <f>VLOOKUP(Table1[[#This Row],[Tegevusala kood]],Table4[[Tegevusala kood]:[Tegevusala alanimetus]],4,FALSE)</f>
        <v>Põhihariduse otsekulud</v>
      </c>
      <c r="S54" s="53"/>
      <c r="T54" s="53"/>
      <c r="U54" s="53">
        <f>Table1[[#This Row],[Summa]]+Table1[[#This Row],[I Muudatus]]+Table1[[#This Row],[II Muudatus]]</f>
        <v>6720</v>
      </c>
    </row>
    <row r="55" spans="1:21" ht="14.25" hidden="1" customHeight="1" x14ac:dyDescent="0.25">
      <c r="A55" s="41" t="s">
        <v>148</v>
      </c>
      <c r="B55" s="41">
        <v>105000</v>
      </c>
      <c r="C55" s="52">
        <v>551100</v>
      </c>
      <c r="D55" s="52" t="str">
        <f>LEFT(Table1[[#This Row],[Eelarvekonto]],2)</f>
        <v>55</v>
      </c>
      <c r="E55" s="41" t="str">
        <f>VLOOKUP(Table1[[#This Row],[Eelarvekonto]],Table5[[Konto]:[Konto nimetus]],2,FALSE)</f>
        <v>Küte ja soojusenergia</v>
      </c>
      <c r="F55" s="41" t="s">
        <v>139</v>
      </c>
      <c r="G55" s="41" t="s">
        <v>24</v>
      </c>
      <c r="J55" s="41" t="s">
        <v>252</v>
      </c>
      <c r="K55" s="41" t="s">
        <v>251</v>
      </c>
      <c r="L55" s="58" t="s">
        <v>250</v>
      </c>
      <c r="M55" s="58" t="str">
        <f>LEFT(Table1[[#This Row],[Tegevusala kood]],2)</f>
        <v>09</v>
      </c>
      <c r="N55" s="41" t="str">
        <f>VLOOKUP(Table1[[#This Row],[Tegevusala kood]],Table4[[Tegevusala kood]:[Tegevusala alanimetus]],2,FALSE)</f>
        <v>Vinni-Pajusti Gümnaasium</v>
      </c>
      <c r="O55" s="41" t="s">
        <v>1</v>
      </c>
      <c r="P55" s="41" t="s">
        <v>1</v>
      </c>
      <c r="Q55" s="41" t="str">
        <f>VLOOKUP(Table1[[#This Row],[Eelarvekonto]],Table5[[Konto]:[Kontode alanimetus]],5,FALSE)</f>
        <v>Majandamiskulud</v>
      </c>
      <c r="R55" s="42" t="str">
        <f>VLOOKUP(Table1[[#This Row],[Tegevusala kood]],Table4[[Tegevusala kood]:[Tegevusala alanimetus]],4,FALSE)</f>
        <v>Põhihariduse otsekulud</v>
      </c>
      <c r="S55" s="60"/>
      <c r="T55" s="53"/>
      <c r="U55" s="53">
        <f>Table1[[#This Row],[Summa]]+Table1[[#This Row],[I Muudatus]]+Table1[[#This Row],[II Muudatus]]</f>
        <v>105000</v>
      </c>
    </row>
    <row r="56" spans="1:21" ht="14.25" hidden="1" customHeight="1" x14ac:dyDescent="0.25">
      <c r="A56" s="41" t="s">
        <v>149</v>
      </c>
      <c r="B56" s="41">
        <v>25200</v>
      </c>
      <c r="C56" s="52">
        <v>551101</v>
      </c>
      <c r="D56" s="52" t="str">
        <f>LEFT(Table1[[#This Row],[Eelarvekonto]],2)</f>
        <v>55</v>
      </c>
      <c r="E56" s="41" t="str">
        <f>VLOOKUP(Table1[[#This Row],[Eelarvekonto]],Table5[[Konto]:[Konto nimetus]],2,FALSE)</f>
        <v>Elekter</v>
      </c>
      <c r="F56" s="41" t="s">
        <v>139</v>
      </c>
      <c r="G56" s="41" t="s">
        <v>24</v>
      </c>
      <c r="J56" s="41" t="s">
        <v>252</v>
      </c>
      <c r="K56" s="41" t="s">
        <v>251</v>
      </c>
      <c r="L56" s="58" t="s">
        <v>250</v>
      </c>
      <c r="M56" s="58" t="str">
        <f>LEFT(Table1[[#This Row],[Tegevusala kood]],2)</f>
        <v>09</v>
      </c>
      <c r="N56" s="41" t="str">
        <f>VLOOKUP(Table1[[#This Row],[Tegevusala kood]],Table4[[Tegevusala kood]:[Tegevusala alanimetus]],2,FALSE)</f>
        <v>Vinni-Pajusti Gümnaasium</v>
      </c>
      <c r="O56" s="41" t="s">
        <v>1</v>
      </c>
      <c r="P56" s="41" t="s">
        <v>1</v>
      </c>
      <c r="Q56" s="41" t="str">
        <f>VLOOKUP(Table1[[#This Row],[Eelarvekonto]],Table5[[Konto]:[Kontode alanimetus]],5,FALSE)</f>
        <v>Majandamiskulud</v>
      </c>
      <c r="R56" s="42" t="str">
        <f>VLOOKUP(Table1[[#This Row],[Tegevusala kood]],Table4[[Tegevusala kood]:[Tegevusala alanimetus]],4,FALSE)</f>
        <v>Põhihariduse otsekulud</v>
      </c>
      <c r="S56" s="53"/>
      <c r="T56" s="53"/>
      <c r="U56" s="53">
        <f>Table1[[#This Row],[Summa]]+Table1[[#This Row],[I Muudatus]]+Table1[[#This Row],[II Muudatus]]</f>
        <v>25200</v>
      </c>
    </row>
    <row r="57" spans="1:21" ht="14.25" hidden="1" customHeight="1" x14ac:dyDescent="0.25">
      <c r="A57" s="41" t="s">
        <v>505</v>
      </c>
      <c r="B57" s="41">
        <v>920.28</v>
      </c>
      <c r="C57" s="52">
        <v>5511</v>
      </c>
      <c r="D57" s="52" t="str">
        <f>LEFT(Table1[[#This Row],[Eelarvekonto]],2)</f>
        <v>55</v>
      </c>
      <c r="E57" s="41" t="str">
        <f>VLOOKUP(Table1[[#This Row],[Eelarvekonto]],Table5[[Konto]:[Konto nimetus]],2,FALSE)</f>
        <v>Kinnistute, hoonete ja ruumide majandamiskulud</v>
      </c>
      <c r="F57" s="41" t="s">
        <v>139</v>
      </c>
      <c r="G57" s="41" t="s">
        <v>24</v>
      </c>
      <c r="J57" s="41" t="s">
        <v>252</v>
      </c>
      <c r="K57" s="41" t="s">
        <v>251</v>
      </c>
      <c r="L57" s="58" t="s">
        <v>250</v>
      </c>
      <c r="M57" s="58" t="str">
        <f>LEFT(Table1[[#This Row],[Tegevusala kood]],2)</f>
        <v>09</v>
      </c>
      <c r="N57" s="41" t="str">
        <f>VLOOKUP(Table1[[#This Row],[Tegevusala kood]],Table4[[Tegevusala kood]:[Tegevusala alanimetus]],2,FALSE)</f>
        <v>Vinni-Pajusti Gümnaasium</v>
      </c>
      <c r="O57" s="41" t="s">
        <v>1</v>
      </c>
      <c r="P57" s="41" t="s">
        <v>1</v>
      </c>
      <c r="Q57" s="41" t="str">
        <f>VLOOKUP(Table1[[#This Row],[Eelarvekonto]],Table5[[Konto]:[Kontode alanimetus]],5,FALSE)</f>
        <v>Majandamiskulud</v>
      </c>
      <c r="R57" s="42" t="str">
        <f>VLOOKUP(Table1[[#This Row],[Tegevusala kood]],Table4[[Tegevusala kood]:[Tegevusala alanimetus]],4,FALSE)</f>
        <v>Põhihariduse otsekulud</v>
      </c>
      <c r="S57" s="53"/>
      <c r="T57" s="53"/>
      <c r="U57" s="53">
        <f>Table1[[#This Row],[Summa]]+Table1[[#This Row],[I Muudatus]]+Table1[[#This Row],[II Muudatus]]</f>
        <v>920.28</v>
      </c>
    </row>
    <row r="58" spans="1:21" ht="14.25" hidden="1" customHeight="1" x14ac:dyDescent="0.25">
      <c r="A58" s="41" t="s">
        <v>504</v>
      </c>
      <c r="B58" s="41">
        <v>957.84</v>
      </c>
      <c r="C58" s="52">
        <v>5511</v>
      </c>
      <c r="D58" s="52" t="str">
        <f>LEFT(Table1[[#This Row],[Eelarvekonto]],2)</f>
        <v>55</v>
      </c>
      <c r="E58" s="41" t="str">
        <f>VLOOKUP(Table1[[#This Row],[Eelarvekonto]],Table5[[Konto]:[Konto nimetus]],2,FALSE)</f>
        <v>Kinnistute, hoonete ja ruumide majandamiskulud</v>
      </c>
      <c r="F58" s="41" t="s">
        <v>139</v>
      </c>
      <c r="G58" s="41" t="s">
        <v>24</v>
      </c>
      <c r="J58" s="41" t="s">
        <v>252</v>
      </c>
      <c r="K58" s="41" t="s">
        <v>251</v>
      </c>
      <c r="L58" s="58" t="s">
        <v>250</v>
      </c>
      <c r="M58" s="58" t="str">
        <f>LEFT(Table1[[#This Row],[Tegevusala kood]],2)</f>
        <v>09</v>
      </c>
      <c r="N58" s="41" t="str">
        <f>VLOOKUP(Table1[[#This Row],[Tegevusala kood]],Table4[[Tegevusala kood]:[Tegevusala alanimetus]],2,FALSE)</f>
        <v>Vinni-Pajusti Gümnaasium</v>
      </c>
      <c r="O58" s="41" t="s">
        <v>1</v>
      </c>
      <c r="P58" s="41" t="s">
        <v>1</v>
      </c>
      <c r="Q58" s="41" t="str">
        <f>VLOOKUP(Table1[[#This Row],[Eelarvekonto]],Table5[[Konto]:[Kontode alanimetus]],5,FALSE)</f>
        <v>Majandamiskulud</v>
      </c>
      <c r="R58" s="42" t="str">
        <f>VLOOKUP(Table1[[#This Row],[Tegevusala kood]],Table4[[Tegevusala kood]:[Tegevusala alanimetus]],4,FALSE)</f>
        <v>Põhihariduse otsekulud</v>
      </c>
      <c r="S58" s="53"/>
      <c r="T58" s="53"/>
      <c r="U58" s="53">
        <f>Table1[[#This Row],[Summa]]+Table1[[#This Row],[I Muudatus]]+Table1[[#This Row],[II Muudatus]]</f>
        <v>957.84</v>
      </c>
    </row>
    <row r="59" spans="1:21" ht="14.25" hidden="1" customHeight="1" x14ac:dyDescent="0.25">
      <c r="A59" s="41" t="s">
        <v>492</v>
      </c>
      <c r="B59" s="41">
        <v>987.36</v>
      </c>
      <c r="C59" s="52">
        <v>5511</v>
      </c>
      <c r="D59" s="52" t="str">
        <f>LEFT(Table1[[#This Row],[Eelarvekonto]],2)</f>
        <v>55</v>
      </c>
      <c r="E59" s="41" t="str">
        <f>VLOOKUP(Table1[[#This Row],[Eelarvekonto]],Table5[[Konto]:[Konto nimetus]],2,FALSE)</f>
        <v>Kinnistute, hoonete ja ruumide majandamiskulud</v>
      </c>
      <c r="F59" s="41" t="s">
        <v>139</v>
      </c>
      <c r="G59" s="41" t="s">
        <v>24</v>
      </c>
      <c r="J59" s="41" t="s">
        <v>252</v>
      </c>
      <c r="K59" s="41" t="s">
        <v>251</v>
      </c>
      <c r="L59" s="58" t="s">
        <v>250</v>
      </c>
      <c r="M59" s="58" t="str">
        <f>LEFT(Table1[[#This Row],[Tegevusala kood]],2)</f>
        <v>09</v>
      </c>
      <c r="N59" s="41" t="str">
        <f>VLOOKUP(Table1[[#This Row],[Tegevusala kood]],Table4[[Tegevusala kood]:[Tegevusala alanimetus]],2,FALSE)</f>
        <v>Vinni-Pajusti Gümnaasium</v>
      </c>
      <c r="O59" s="41" t="s">
        <v>1</v>
      </c>
      <c r="P59" s="41" t="s">
        <v>1</v>
      </c>
      <c r="Q59" s="41" t="str">
        <f>VLOOKUP(Table1[[#This Row],[Eelarvekonto]],Table5[[Konto]:[Kontode alanimetus]],5,FALSE)</f>
        <v>Majandamiskulud</v>
      </c>
      <c r="R59" s="42" t="str">
        <f>VLOOKUP(Table1[[#This Row],[Tegevusala kood]],Table4[[Tegevusala kood]:[Tegevusala alanimetus]],4,FALSE)</f>
        <v>Põhihariduse otsekulud</v>
      </c>
      <c r="S59" s="53"/>
      <c r="T59" s="53"/>
      <c r="U59" s="53">
        <f>Table1[[#This Row],[Summa]]+Table1[[#This Row],[I Muudatus]]+Table1[[#This Row],[II Muudatus]]</f>
        <v>987.36</v>
      </c>
    </row>
    <row r="60" spans="1:21" ht="14.25" hidden="1" customHeight="1" x14ac:dyDescent="0.25">
      <c r="A60" s="41" t="s">
        <v>1011</v>
      </c>
      <c r="B60" s="41">
        <v>158.4</v>
      </c>
      <c r="C60" s="52">
        <v>5514</v>
      </c>
      <c r="D60" s="52" t="str">
        <f>LEFT(Table1[[#This Row],[Eelarvekonto]],2)</f>
        <v>55</v>
      </c>
      <c r="E60" s="41" t="str">
        <f>VLOOKUP(Table1[[#This Row],[Eelarvekonto]],Table5[[Konto]:[Konto nimetus]],2,FALSE)</f>
        <v>Info- ja kommunikatsioonitehnoloogia kulud</v>
      </c>
      <c r="F60" s="41" t="s">
        <v>139</v>
      </c>
      <c r="G60" s="41" t="s">
        <v>24</v>
      </c>
      <c r="J60" s="41" t="s">
        <v>252</v>
      </c>
      <c r="K60" s="41" t="s">
        <v>251</v>
      </c>
      <c r="L60" s="58" t="s">
        <v>250</v>
      </c>
      <c r="M60" s="58" t="str">
        <f>LEFT(Table1[[#This Row],[Tegevusala kood]],2)</f>
        <v>09</v>
      </c>
      <c r="N60" s="41" t="str">
        <f>VLOOKUP(Table1[[#This Row],[Tegevusala kood]],Table4[[Tegevusala kood]:[Tegevusala alanimetus]],2,FALSE)</f>
        <v>Vinni-Pajusti Gümnaasium</v>
      </c>
      <c r="O60" s="41" t="s">
        <v>1</v>
      </c>
      <c r="P60" s="41" t="s">
        <v>1</v>
      </c>
      <c r="Q60" s="41" t="str">
        <f>VLOOKUP(Table1[[#This Row],[Eelarvekonto]],Table5[[Konto]:[Kontode alanimetus]],5,FALSE)</f>
        <v>Majandamiskulud</v>
      </c>
      <c r="R60" s="42" t="str">
        <f>VLOOKUP(Table1[[#This Row],[Tegevusala kood]],Table4[[Tegevusala kood]:[Tegevusala alanimetus]],4,FALSE)</f>
        <v>Põhihariduse otsekulud</v>
      </c>
      <c r="S60" s="53"/>
      <c r="T60" s="53"/>
      <c r="U60" s="53">
        <f>Table1[[#This Row],[Summa]]+Table1[[#This Row],[I Muudatus]]+Table1[[#This Row],[II Muudatus]]</f>
        <v>158.4</v>
      </c>
    </row>
    <row r="61" spans="1:21" ht="14.25" hidden="1" customHeight="1" x14ac:dyDescent="0.25">
      <c r="A61" s="41" t="s">
        <v>503</v>
      </c>
      <c r="B61" s="41">
        <v>1518.96</v>
      </c>
      <c r="C61" s="52">
        <v>5511</v>
      </c>
      <c r="D61" s="52" t="str">
        <f>LEFT(Table1[[#This Row],[Eelarvekonto]],2)</f>
        <v>55</v>
      </c>
      <c r="E61" s="41" t="str">
        <f>VLOOKUP(Table1[[#This Row],[Eelarvekonto]],Table5[[Konto]:[Konto nimetus]],2,FALSE)</f>
        <v>Kinnistute, hoonete ja ruumide majandamiskulud</v>
      </c>
      <c r="F61" s="41" t="s">
        <v>139</v>
      </c>
      <c r="G61" s="41" t="s">
        <v>24</v>
      </c>
      <c r="J61" s="41" t="s">
        <v>252</v>
      </c>
      <c r="K61" s="41" t="s">
        <v>251</v>
      </c>
      <c r="L61" s="58" t="s">
        <v>250</v>
      </c>
      <c r="M61" s="58" t="str">
        <f>LEFT(Table1[[#This Row],[Tegevusala kood]],2)</f>
        <v>09</v>
      </c>
      <c r="N61" s="41" t="str">
        <f>VLOOKUP(Table1[[#This Row],[Tegevusala kood]],Table4[[Tegevusala kood]:[Tegevusala alanimetus]],2,FALSE)</f>
        <v>Vinni-Pajusti Gümnaasium</v>
      </c>
      <c r="O61" s="41" t="s">
        <v>1</v>
      </c>
      <c r="P61" s="41" t="s">
        <v>1</v>
      </c>
      <c r="Q61" s="41" t="str">
        <f>VLOOKUP(Table1[[#This Row],[Eelarvekonto]],Table5[[Konto]:[Kontode alanimetus]],5,FALSE)</f>
        <v>Majandamiskulud</v>
      </c>
      <c r="R61" s="42" t="str">
        <f>VLOOKUP(Table1[[#This Row],[Tegevusala kood]],Table4[[Tegevusala kood]:[Tegevusala alanimetus]],4,FALSE)</f>
        <v>Põhihariduse otsekulud</v>
      </c>
      <c r="S61" s="53"/>
      <c r="T61" s="53"/>
      <c r="U61" s="53">
        <f>Table1[[#This Row],[Summa]]+Table1[[#This Row],[I Muudatus]]+Table1[[#This Row],[II Muudatus]]</f>
        <v>1518.96</v>
      </c>
    </row>
    <row r="62" spans="1:21" ht="14.25" hidden="1" customHeight="1" x14ac:dyDescent="0.25">
      <c r="A62" s="41" t="s">
        <v>502</v>
      </c>
      <c r="B62" s="41">
        <v>3360</v>
      </c>
      <c r="C62" s="52">
        <v>5524</v>
      </c>
      <c r="D62" s="52" t="str">
        <f>LEFT(Table1[[#This Row],[Eelarvekonto]],2)</f>
        <v>55</v>
      </c>
      <c r="E62" s="41" t="str">
        <f>VLOOKUP(Table1[[#This Row],[Eelarvekonto]],Table5[[Konto]:[Konto nimetus]],2,FALSE)</f>
        <v>Õppevahendite ja koolituse kulud</v>
      </c>
      <c r="F62" s="41" t="s">
        <v>139</v>
      </c>
      <c r="G62" s="41" t="s">
        <v>24</v>
      </c>
      <c r="J62" s="41" t="s">
        <v>252</v>
      </c>
      <c r="K62" s="41" t="s">
        <v>251</v>
      </c>
      <c r="L62" s="58" t="s">
        <v>250</v>
      </c>
      <c r="M62" s="58" t="str">
        <f>LEFT(Table1[[#This Row],[Tegevusala kood]],2)</f>
        <v>09</v>
      </c>
      <c r="N62" s="41" t="str">
        <f>VLOOKUP(Table1[[#This Row],[Tegevusala kood]],Table4[[Tegevusala kood]:[Tegevusala alanimetus]],2,FALSE)</f>
        <v>Vinni-Pajusti Gümnaasium</v>
      </c>
      <c r="O62" s="68"/>
      <c r="P62" s="41" t="s">
        <v>1</v>
      </c>
      <c r="Q62" s="41" t="str">
        <f>VLOOKUP(Table1[[#This Row],[Eelarvekonto]],Table5[[Konto]:[Kontode alanimetus]],5,FALSE)</f>
        <v>Majandamiskulud</v>
      </c>
      <c r="R62" s="42" t="str">
        <f>VLOOKUP(Table1[[#This Row],[Tegevusala kood]],Table4[[Tegevusala kood]:[Tegevusala alanimetus]],4,FALSE)</f>
        <v>Põhihariduse otsekulud</v>
      </c>
      <c r="S62" s="53"/>
      <c r="T62" s="53"/>
      <c r="U62" s="53">
        <f>Table1[[#This Row],[Summa]]+Table1[[#This Row],[I Muudatus]]+Table1[[#This Row],[II Muudatus]]</f>
        <v>3360</v>
      </c>
    </row>
    <row r="63" spans="1:21" ht="14.25" hidden="1" customHeight="1" x14ac:dyDescent="0.25">
      <c r="A63" s="41" t="s">
        <v>150</v>
      </c>
      <c r="B63" s="41">
        <v>14080</v>
      </c>
      <c r="C63" s="52">
        <v>551102</v>
      </c>
      <c r="D63" s="52" t="str">
        <f>LEFT(Table1[[#This Row],[Eelarvekonto]],2)</f>
        <v>55</v>
      </c>
      <c r="E63" s="41" t="str">
        <f>VLOOKUP(Table1[[#This Row],[Eelarvekonto]],Table5[[Konto]:[Konto nimetus]],2,FALSE)</f>
        <v>Vesi ja kanalisatsioon</v>
      </c>
      <c r="F63" s="41" t="s">
        <v>139</v>
      </c>
      <c r="G63" s="41" t="s">
        <v>24</v>
      </c>
      <c r="J63" s="41" t="s">
        <v>252</v>
      </c>
      <c r="K63" s="41" t="s">
        <v>251</v>
      </c>
      <c r="L63" s="58" t="s">
        <v>250</v>
      </c>
      <c r="M63" s="58" t="str">
        <f>LEFT(Table1[[#This Row],[Tegevusala kood]],2)</f>
        <v>09</v>
      </c>
      <c r="N63" s="41" t="str">
        <f>VLOOKUP(Table1[[#This Row],[Tegevusala kood]],Table4[[Tegevusala kood]:[Tegevusala alanimetus]],2,FALSE)</f>
        <v>Vinni-Pajusti Gümnaasium</v>
      </c>
      <c r="O63" s="41" t="s">
        <v>1</v>
      </c>
      <c r="P63" s="41" t="s">
        <v>1</v>
      </c>
      <c r="Q63" s="41" t="str">
        <f>VLOOKUP(Table1[[#This Row],[Eelarvekonto]],Table5[[Konto]:[Kontode alanimetus]],5,FALSE)</f>
        <v>Majandamiskulud</v>
      </c>
      <c r="R63" s="42" t="str">
        <f>VLOOKUP(Table1[[#This Row],[Tegevusala kood]],Table4[[Tegevusala kood]:[Tegevusala alanimetus]],4,FALSE)</f>
        <v>Põhihariduse otsekulud</v>
      </c>
      <c r="S63" s="53"/>
      <c r="T63" s="53"/>
      <c r="U63" s="53">
        <f>Table1[[#This Row],[Summa]]+Table1[[#This Row],[I Muudatus]]+Table1[[#This Row],[II Muudatus]]</f>
        <v>14080</v>
      </c>
    </row>
    <row r="64" spans="1:21" ht="14.25" hidden="1" customHeight="1" x14ac:dyDescent="0.25">
      <c r="A64" s="41" t="s">
        <v>1012</v>
      </c>
      <c r="B64" s="41">
        <v>366.72</v>
      </c>
      <c r="C64" s="52">
        <v>5511</v>
      </c>
      <c r="D64" s="52" t="str">
        <f>LEFT(Table1[[#This Row],[Eelarvekonto]],2)</f>
        <v>55</v>
      </c>
      <c r="E64" s="41" t="str">
        <f>VLOOKUP(Table1[[#This Row],[Eelarvekonto]],Table5[[Konto]:[Konto nimetus]],2,FALSE)</f>
        <v>Kinnistute, hoonete ja ruumide majandamiskulud</v>
      </c>
      <c r="F64" s="41" t="s">
        <v>139</v>
      </c>
      <c r="G64" s="41" t="s">
        <v>24</v>
      </c>
      <c r="J64" s="41" t="s">
        <v>252</v>
      </c>
      <c r="K64" s="41" t="s">
        <v>251</v>
      </c>
      <c r="L64" s="58" t="s">
        <v>250</v>
      </c>
      <c r="M64" s="58" t="str">
        <f>LEFT(Table1[[#This Row],[Tegevusala kood]],2)</f>
        <v>09</v>
      </c>
      <c r="N64" s="41" t="str">
        <f>VLOOKUP(Table1[[#This Row],[Tegevusala kood]],Table4[[Tegevusala kood]:[Tegevusala alanimetus]],2,FALSE)</f>
        <v>Vinni-Pajusti Gümnaasium</v>
      </c>
      <c r="O64" s="41" t="s">
        <v>1</v>
      </c>
      <c r="P64" s="41" t="s">
        <v>1</v>
      </c>
      <c r="Q64" s="41" t="str">
        <f>VLOOKUP(Table1[[#This Row],[Eelarvekonto]],Table5[[Konto]:[Kontode alanimetus]],5,FALSE)</f>
        <v>Majandamiskulud</v>
      </c>
      <c r="R64" s="42" t="str">
        <f>VLOOKUP(Table1[[#This Row],[Tegevusala kood]],Table4[[Tegevusala kood]:[Tegevusala alanimetus]],4,FALSE)</f>
        <v>Põhihariduse otsekulud</v>
      </c>
      <c r="S64" s="53"/>
      <c r="T64" s="53"/>
      <c r="U64" s="53">
        <f>Table1[[#This Row],[Summa]]+Table1[[#This Row],[I Muudatus]]+Table1[[#This Row],[II Muudatus]]</f>
        <v>366.72</v>
      </c>
    </row>
    <row r="65" spans="1:21" ht="14.25" hidden="1" customHeight="1" x14ac:dyDescent="0.25">
      <c r="A65" s="41" t="s">
        <v>172</v>
      </c>
      <c r="B65" s="41">
        <v>162.24</v>
      </c>
      <c r="C65" s="52">
        <v>5511</v>
      </c>
      <c r="D65" s="52" t="str">
        <f>LEFT(Table1[[#This Row],[Eelarvekonto]],2)</f>
        <v>55</v>
      </c>
      <c r="E65" s="41" t="str">
        <f>VLOOKUP(Table1[[#This Row],[Eelarvekonto]],Table5[[Konto]:[Konto nimetus]],2,FALSE)</f>
        <v>Kinnistute, hoonete ja ruumide majandamiskulud</v>
      </c>
      <c r="F65" s="41" t="s">
        <v>139</v>
      </c>
      <c r="G65" s="41" t="s">
        <v>24</v>
      </c>
      <c r="J65" s="41" t="s">
        <v>252</v>
      </c>
      <c r="K65" s="41" t="s">
        <v>251</v>
      </c>
      <c r="L65" s="58" t="s">
        <v>250</v>
      </c>
      <c r="M65" s="58" t="str">
        <f>LEFT(Table1[[#This Row],[Tegevusala kood]],2)</f>
        <v>09</v>
      </c>
      <c r="N65" s="41" t="str">
        <f>VLOOKUP(Table1[[#This Row],[Tegevusala kood]],Table4[[Tegevusala kood]:[Tegevusala alanimetus]],2,FALSE)</f>
        <v>Vinni-Pajusti Gümnaasium</v>
      </c>
      <c r="O65" s="41" t="s">
        <v>1</v>
      </c>
      <c r="P65" s="41" t="s">
        <v>1</v>
      </c>
      <c r="Q65" s="41" t="str">
        <f>VLOOKUP(Table1[[#This Row],[Eelarvekonto]],Table5[[Konto]:[Kontode alanimetus]],5,FALSE)</f>
        <v>Majandamiskulud</v>
      </c>
      <c r="R65" s="42" t="str">
        <f>VLOOKUP(Table1[[#This Row],[Tegevusala kood]],Table4[[Tegevusala kood]:[Tegevusala alanimetus]],4,FALSE)</f>
        <v>Põhihariduse otsekulud</v>
      </c>
      <c r="S65" s="53"/>
      <c r="T65" s="53"/>
      <c r="U65" s="53">
        <f>Table1[[#This Row],[Summa]]+Table1[[#This Row],[I Muudatus]]+Table1[[#This Row],[II Muudatus]]</f>
        <v>162.24</v>
      </c>
    </row>
    <row r="66" spans="1:21" ht="14.25" hidden="1" customHeight="1" x14ac:dyDescent="0.25">
      <c r="A66" s="41" t="s">
        <v>1013</v>
      </c>
      <c r="B66" s="41">
        <v>1232</v>
      </c>
      <c r="C66" s="52">
        <v>5500</v>
      </c>
      <c r="D66" s="52" t="str">
        <f>LEFT(Table1[[#This Row],[Eelarvekonto]],2)</f>
        <v>55</v>
      </c>
      <c r="E66" s="41" t="str">
        <f>VLOOKUP(Table1[[#This Row],[Eelarvekonto]],Table5[[Konto]:[Konto nimetus]],2,FALSE)</f>
        <v>Administreerimiskulud</v>
      </c>
      <c r="F66" s="41" t="s">
        <v>139</v>
      </c>
      <c r="G66" s="41" t="s">
        <v>24</v>
      </c>
      <c r="J66" s="41" t="s">
        <v>252</v>
      </c>
      <c r="K66" s="41" t="s">
        <v>251</v>
      </c>
      <c r="L66" s="58" t="s">
        <v>250</v>
      </c>
      <c r="M66" s="58" t="str">
        <f>LEFT(Table1[[#This Row],[Tegevusala kood]],2)</f>
        <v>09</v>
      </c>
      <c r="N66" s="41" t="str">
        <f>VLOOKUP(Table1[[#This Row],[Tegevusala kood]],Table4[[Tegevusala kood]:[Tegevusala alanimetus]],2,FALSE)</f>
        <v>Vinni-Pajusti Gümnaasium</v>
      </c>
      <c r="O66" s="41" t="s">
        <v>1</v>
      </c>
      <c r="P66" s="41" t="s">
        <v>1</v>
      </c>
      <c r="Q66" s="41" t="str">
        <f>VLOOKUP(Table1[[#This Row],[Eelarvekonto]],Table5[[Konto]:[Kontode alanimetus]],5,FALSE)</f>
        <v>Majandamiskulud</v>
      </c>
      <c r="R66" s="42" t="str">
        <f>VLOOKUP(Table1[[#This Row],[Tegevusala kood]],Table4[[Tegevusala kood]:[Tegevusala alanimetus]],4,FALSE)</f>
        <v>Põhihariduse otsekulud</v>
      </c>
      <c r="S66" s="53"/>
      <c r="T66" s="53"/>
      <c r="U66" s="53">
        <f>Table1[[#This Row],[Summa]]+Table1[[#This Row],[I Muudatus]]+Table1[[#This Row],[II Muudatus]]</f>
        <v>1232</v>
      </c>
    </row>
    <row r="67" spans="1:21" ht="14.25" hidden="1" customHeight="1" x14ac:dyDescent="0.25">
      <c r="A67" s="41" t="s">
        <v>1005</v>
      </c>
      <c r="B67" s="41">
        <v>115.2</v>
      </c>
      <c r="C67" s="52">
        <v>5500</v>
      </c>
      <c r="D67" s="52" t="str">
        <f>LEFT(Table1[[#This Row],[Eelarvekonto]],2)</f>
        <v>55</v>
      </c>
      <c r="E67" s="41" t="str">
        <f>VLOOKUP(Table1[[#This Row],[Eelarvekonto]],Table5[[Konto]:[Konto nimetus]],2,FALSE)</f>
        <v>Administreerimiskulud</v>
      </c>
      <c r="F67" s="41" t="s">
        <v>139</v>
      </c>
      <c r="G67" s="41" t="s">
        <v>24</v>
      </c>
      <c r="J67" s="41" t="s">
        <v>252</v>
      </c>
      <c r="K67" s="41" t="s">
        <v>251</v>
      </c>
      <c r="L67" s="58" t="s">
        <v>250</v>
      </c>
      <c r="M67" s="58" t="str">
        <f>LEFT(Table1[[#This Row],[Tegevusala kood]],2)</f>
        <v>09</v>
      </c>
      <c r="N67" s="41" t="str">
        <f>VLOOKUP(Table1[[#This Row],[Tegevusala kood]],Table4[[Tegevusala kood]:[Tegevusala alanimetus]],2,FALSE)</f>
        <v>Vinni-Pajusti Gümnaasium</v>
      </c>
      <c r="O67" s="41" t="s">
        <v>1</v>
      </c>
      <c r="P67" s="41" t="s">
        <v>1</v>
      </c>
      <c r="Q67" s="41" t="str">
        <f>VLOOKUP(Table1[[#This Row],[Eelarvekonto]],Table5[[Konto]:[Kontode alanimetus]],5,FALSE)</f>
        <v>Majandamiskulud</v>
      </c>
      <c r="R67" s="42" t="str">
        <f>VLOOKUP(Table1[[#This Row],[Tegevusala kood]],Table4[[Tegevusala kood]:[Tegevusala alanimetus]],4,FALSE)</f>
        <v>Põhihariduse otsekulud</v>
      </c>
      <c r="S67" s="53"/>
      <c r="T67" s="53"/>
      <c r="U67" s="53">
        <f>Table1[[#This Row],[Summa]]+Table1[[#This Row],[I Muudatus]]+Table1[[#This Row],[II Muudatus]]</f>
        <v>115.2</v>
      </c>
    </row>
    <row r="68" spans="1:21" ht="14.25" hidden="1" customHeight="1" x14ac:dyDescent="0.25">
      <c r="A68" s="41" t="s">
        <v>1014</v>
      </c>
      <c r="B68" s="41">
        <v>7687.08</v>
      </c>
      <c r="C68" s="52">
        <v>5500</v>
      </c>
      <c r="D68" s="52" t="str">
        <f>LEFT(Table1[[#This Row],[Eelarvekonto]],2)</f>
        <v>55</v>
      </c>
      <c r="E68" s="41" t="str">
        <f>VLOOKUP(Table1[[#This Row],[Eelarvekonto]],Table5[[Konto]:[Konto nimetus]],2,FALSE)</f>
        <v>Administreerimiskulud</v>
      </c>
      <c r="F68" s="41" t="s">
        <v>139</v>
      </c>
      <c r="G68" s="41" t="s">
        <v>24</v>
      </c>
      <c r="J68" s="41" t="s">
        <v>252</v>
      </c>
      <c r="K68" s="41" t="s">
        <v>251</v>
      </c>
      <c r="L68" s="58" t="s">
        <v>250</v>
      </c>
      <c r="M68" s="58" t="str">
        <f>LEFT(Table1[[#This Row],[Tegevusala kood]],2)</f>
        <v>09</v>
      </c>
      <c r="N68" s="41" t="str">
        <f>VLOOKUP(Table1[[#This Row],[Tegevusala kood]],Table4[[Tegevusala kood]:[Tegevusala alanimetus]],2,FALSE)</f>
        <v>Vinni-Pajusti Gümnaasium</v>
      </c>
      <c r="O68" s="41" t="s">
        <v>1</v>
      </c>
      <c r="P68" s="41" t="s">
        <v>1</v>
      </c>
      <c r="Q68" s="41" t="str">
        <f>VLOOKUP(Table1[[#This Row],[Eelarvekonto]],Table5[[Konto]:[Kontode alanimetus]],5,FALSE)</f>
        <v>Majandamiskulud</v>
      </c>
      <c r="R68" s="42" t="str">
        <f>VLOOKUP(Table1[[#This Row],[Tegevusala kood]],Table4[[Tegevusala kood]:[Tegevusala alanimetus]],4,FALSE)</f>
        <v>Põhihariduse otsekulud</v>
      </c>
      <c r="S68" s="53"/>
      <c r="T68" s="53"/>
      <c r="U68" s="53">
        <f>Table1[[#This Row],[Summa]]+Table1[[#This Row],[I Muudatus]]+Table1[[#This Row],[II Muudatus]]</f>
        <v>7687.08</v>
      </c>
    </row>
    <row r="69" spans="1:21" ht="14.25" hidden="1" customHeight="1" x14ac:dyDescent="0.25">
      <c r="A69" s="41" t="s">
        <v>501</v>
      </c>
      <c r="B69" s="41">
        <v>385.44</v>
      </c>
      <c r="C69" s="52">
        <v>5511</v>
      </c>
      <c r="D69" s="52" t="str">
        <f>LEFT(Table1[[#This Row],[Eelarvekonto]],2)</f>
        <v>55</v>
      </c>
      <c r="E69" s="41" t="str">
        <f>VLOOKUP(Table1[[#This Row],[Eelarvekonto]],Table5[[Konto]:[Konto nimetus]],2,FALSE)</f>
        <v>Kinnistute, hoonete ja ruumide majandamiskulud</v>
      </c>
      <c r="F69" s="41" t="s">
        <v>139</v>
      </c>
      <c r="G69" s="41" t="s">
        <v>24</v>
      </c>
      <c r="J69" s="41" t="s">
        <v>252</v>
      </c>
      <c r="K69" s="41" t="s">
        <v>251</v>
      </c>
      <c r="L69" s="58" t="s">
        <v>250</v>
      </c>
      <c r="M69" s="58" t="str">
        <f>LEFT(Table1[[#This Row],[Tegevusala kood]],2)</f>
        <v>09</v>
      </c>
      <c r="N69" s="41" t="str">
        <f>VLOOKUP(Table1[[#This Row],[Tegevusala kood]],Table4[[Tegevusala kood]:[Tegevusala alanimetus]],2,FALSE)</f>
        <v>Vinni-Pajusti Gümnaasium</v>
      </c>
      <c r="O69" s="41" t="s">
        <v>1</v>
      </c>
      <c r="P69" s="41" t="s">
        <v>1</v>
      </c>
      <c r="Q69" s="41" t="str">
        <f>VLOOKUP(Table1[[#This Row],[Eelarvekonto]],Table5[[Konto]:[Kontode alanimetus]],5,FALSE)</f>
        <v>Majandamiskulud</v>
      </c>
      <c r="R69" s="42" t="str">
        <f>VLOOKUP(Table1[[#This Row],[Tegevusala kood]],Table4[[Tegevusala kood]:[Tegevusala alanimetus]],4,FALSE)</f>
        <v>Põhihariduse otsekulud</v>
      </c>
      <c r="S69" s="53"/>
      <c r="T69" s="53"/>
      <c r="U69" s="53">
        <f>Table1[[#This Row],[Summa]]+Table1[[#This Row],[I Muudatus]]+Table1[[#This Row],[II Muudatus]]</f>
        <v>385.44</v>
      </c>
    </row>
    <row r="70" spans="1:21" ht="14.25" hidden="1" customHeight="1" x14ac:dyDescent="0.25">
      <c r="A70" s="41" t="s">
        <v>500</v>
      </c>
      <c r="B70" s="41">
        <v>960</v>
      </c>
      <c r="C70" s="52">
        <v>5514</v>
      </c>
      <c r="D70" s="52" t="str">
        <f>LEFT(Table1[[#This Row],[Eelarvekonto]],2)</f>
        <v>55</v>
      </c>
      <c r="E70" s="41" t="str">
        <f>VLOOKUP(Table1[[#This Row],[Eelarvekonto]],Table5[[Konto]:[Konto nimetus]],2,FALSE)</f>
        <v>Info- ja kommunikatsioonitehnoloogia kulud</v>
      </c>
      <c r="F70" s="41" t="s">
        <v>139</v>
      </c>
      <c r="G70" s="41" t="s">
        <v>24</v>
      </c>
      <c r="J70" s="41" t="s">
        <v>252</v>
      </c>
      <c r="K70" s="41" t="s">
        <v>251</v>
      </c>
      <c r="L70" s="58" t="s">
        <v>250</v>
      </c>
      <c r="M70" s="58" t="str">
        <f>LEFT(Table1[[#This Row],[Tegevusala kood]],2)</f>
        <v>09</v>
      </c>
      <c r="N70" s="41" t="str">
        <f>VLOOKUP(Table1[[#This Row],[Tegevusala kood]],Table4[[Tegevusala kood]:[Tegevusala alanimetus]],2,FALSE)</f>
        <v>Vinni-Pajusti Gümnaasium</v>
      </c>
      <c r="O70" s="41" t="s">
        <v>1</v>
      </c>
      <c r="P70" s="41" t="s">
        <v>1</v>
      </c>
      <c r="Q70" s="41" t="str">
        <f>VLOOKUP(Table1[[#This Row],[Eelarvekonto]],Table5[[Konto]:[Kontode alanimetus]],5,FALSE)</f>
        <v>Majandamiskulud</v>
      </c>
      <c r="R70" s="42" t="str">
        <f>VLOOKUP(Table1[[#This Row],[Tegevusala kood]],Table4[[Tegevusala kood]:[Tegevusala alanimetus]],4,FALSE)</f>
        <v>Põhihariduse otsekulud</v>
      </c>
      <c r="S70" s="53"/>
      <c r="T70" s="53"/>
      <c r="U70" s="53">
        <f>Table1[[#This Row],[Summa]]+Table1[[#This Row],[I Muudatus]]+Table1[[#This Row],[II Muudatus]]</f>
        <v>960</v>
      </c>
    </row>
    <row r="71" spans="1:21" ht="14.25" hidden="1" customHeight="1" x14ac:dyDescent="0.25">
      <c r="A71" s="41" t="s">
        <v>197</v>
      </c>
      <c r="B71" s="41">
        <v>2200</v>
      </c>
      <c r="C71" s="52">
        <v>5513081</v>
      </c>
      <c r="D71" s="52" t="str">
        <f>LEFT(Table1[[#This Row],[Eelarvekonto]],2)</f>
        <v>55</v>
      </c>
      <c r="E71" s="41" t="str">
        <f>VLOOKUP(Table1[[#This Row],[Eelarvekonto]],Table5[[Konto]:[Konto nimetus]],2,FALSE)</f>
        <v>Isikliku sõiduauto kompensatsioon</v>
      </c>
      <c r="F71" s="41" t="s">
        <v>139</v>
      </c>
      <c r="G71" s="41" t="s">
        <v>24</v>
      </c>
      <c r="J71" s="41" t="s">
        <v>185</v>
      </c>
      <c r="K71" s="41" t="s">
        <v>102</v>
      </c>
      <c r="L71" s="58" t="s">
        <v>184</v>
      </c>
      <c r="M71" s="58" t="str">
        <f>LEFT(Table1[[#This Row],[Tegevusala kood]],2)</f>
        <v>08</v>
      </c>
      <c r="N71" s="41" t="str">
        <f>VLOOKUP(Table1[[#This Row],[Tegevusala kood]],Table4[[Tegevusala kood]:[Tegevusala alanimetus]],2,FALSE)</f>
        <v>Vinni Vallamuuseum</v>
      </c>
      <c r="O71" s="41" t="s">
        <v>1</v>
      </c>
      <c r="P71" s="41" t="s">
        <v>1</v>
      </c>
      <c r="Q71" s="41" t="str">
        <f>VLOOKUP(Table1[[#This Row],[Eelarvekonto]],Table5[[Konto]:[Kontode alanimetus]],5,FALSE)</f>
        <v>Majandamiskulud</v>
      </c>
      <c r="R71" s="42" t="str">
        <f>VLOOKUP(Table1[[#This Row],[Tegevusala kood]],Table4[[Tegevusala kood]:[Tegevusala alanimetus]],4,FALSE)</f>
        <v>Muuseumid</v>
      </c>
      <c r="S71" s="53"/>
      <c r="T71" s="53"/>
      <c r="U71" s="53">
        <f>Table1[[#This Row],[Summa]]+Table1[[#This Row],[I Muudatus]]+Table1[[#This Row],[II Muudatus]]</f>
        <v>2200</v>
      </c>
    </row>
    <row r="72" spans="1:21" ht="14.25" hidden="1" customHeight="1" x14ac:dyDescent="0.25">
      <c r="A72" s="41" t="s">
        <v>158</v>
      </c>
      <c r="B72" s="41">
        <v>6327.36</v>
      </c>
      <c r="C72" s="52">
        <v>506</v>
      </c>
      <c r="D72" s="52" t="str">
        <f>LEFT(Table1[[#This Row],[Eelarvekonto]],2)</f>
        <v>50</v>
      </c>
      <c r="E72" s="41" t="str">
        <f>VLOOKUP(Table1[[#This Row],[Eelarvekonto]],Table5[[Konto]:[Konto nimetus]],2,FALSE)</f>
        <v>Tööjõukuludega kaasnevad maksud ja sotsiaalkindlustusmaksed</v>
      </c>
      <c r="F72" s="41" t="s">
        <v>139</v>
      </c>
      <c r="G72" s="41" t="s">
        <v>24</v>
      </c>
      <c r="J72" s="41" t="s">
        <v>185</v>
      </c>
      <c r="K72" s="41" t="s">
        <v>102</v>
      </c>
      <c r="L72" s="58" t="s">
        <v>184</v>
      </c>
      <c r="M72" s="58" t="str">
        <f>LEFT(Table1[[#This Row],[Tegevusala kood]],2)</f>
        <v>08</v>
      </c>
      <c r="N72" s="41" t="str">
        <f>VLOOKUP(Table1[[#This Row],[Tegevusala kood]],Table4[[Tegevusala kood]:[Tegevusala alanimetus]],2,FALSE)</f>
        <v>Vinni Vallamuuseum</v>
      </c>
      <c r="O72" s="41" t="s">
        <v>1</v>
      </c>
      <c r="P72" s="41" t="s">
        <v>1</v>
      </c>
      <c r="Q72" s="41" t="str">
        <f>VLOOKUP(Table1[[#This Row],[Eelarvekonto]],Table5[[Konto]:[Kontode alanimetus]],5,FALSE)</f>
        <v>Tööjõukulud</v>
      </c>
      <c r="R72" s="42" t="str">
        <f>VLOOKUP(Table1[[#This Row],[Tegevusala kood]],Table4[[Tegevusala kood]:[Tegevusala alanimetus]],4,FALSE)</f>
        <v>Muuseumid</v>
      </c>
      <c r="S72" s="53"/>
      <c r="T72" s="53"/>
      <c r="U72" s="53">
        <f>Table1[[#This Row],[Summa]]+Table1[[#This Row],[I Muudatus]]+Table1[[#This Row],[II Muudatus]]</f>
        <v>6327.36</v>
      </c>
    </row>
    <row r="73" spans="1:21" ht="14.25" hidden="1" customHeight="1" x14ac:dyDescent="0.25">
      <c r="A73" s="41" t="s">
        <v>462</v>
      </c>
      <c r="B73" s="41">
        <v>18720</v>
      </c>
      <c r="C73" s="52">
        <v>5002</v>
      </c>
      <c r="D73" s="52" t="str">
        <f>LEFT(Table1[[#This Row],[Eelarvekonto]],2)</f>
        <v>50</v>
      </c>
      <c r="E73" s="41" t="str">
        <f>VLOOKUP(Table1[[#This Row],[Eelarvekonto]],Table5[[Konto]:[Konto nimetus]],2,FALSE)</f>
        <v>Töötajate töötasud</v>
      </c>
      <c r="F73" s="41" t="s">
        <v>139</v>
      </c>
      <c r="G73" s="41" t="s">
        <v>24</v>
      </c>
      <c r="J73" s="41" t="s">
        <v>185</v>
      </c>
      <c r="K73" s="41" t="s">
        <v>102</v>
      </c>
      <c r="L73" s="58" t="s">
        <v>184</v>
      </c>
      <c r="M73" s="58" t="str">
        <f>LEFT(Table1[[#This Row],[Tegevusala kood]],2)</f>
        <v>08</v>
      </c>
      <c r="N73" s="41" t="str">
        <f>VLOOKUP(Table1[[#This Row],[Tegevusala kood]],Table4[[Tegevusala kood]:[Tegevusala alanimetus]],2,FALSE)</f>
        <v>Vinni Vallamuuseum</v>
      </c>
      <c r="O73" s="41" t="s">
        <v>1</v>
      </c>
      <c r="P73" s="41" t="s">
        <v>1</v>
      </c>
      <c r="Q73" s="41" t="str">
        <f>VLOOKUP(Table1[[#This Row],[Eelarvekonto]],Table5[[Konto]:[Kontode alanimetus]],5,FALSE)</f>
        <v>Tööjõukulud</v>
      </c>
      <c r="R73" s="42" t="str">
        <f>VLOOKUP(Table1[[#This Row],[Tegevusala kood]],Table4[[Tegevusala kood]:[Tegevusala alanimetus]],4,FALSE)</f>
        <v>Muuseumid</v>
      </c>
      <c r="S73" s="53"/>
      <c r="T73" s="53"/>
      <c r="U73" s="53">
        <f>Table1[[#This Row],[Summa]]+Table1[[#This Row],[I Muudatus]]+Table1[[#This Row],[II Muudatus]]</f>
        <v>18720</v>
      </c>
    </row>
    <row r="74" spans="1:21" ht="14.25" hidden="1" customHeight="1" x14ac:dyDescent="0.25">
      <c r="A74" s="41" t="s">
        <v>158</v>
      </c>
      <c r="B74" s="41">
        <v>4087.77</v>
      </c>
      <c r="C74" s="52">
        <v>506</v>
      </c>
      <c r="D74" s="52" t="str">
        <f>LEFT(Table1[[#This Row],[Eelarvekonto]],2)</f>
        <v>50</v>
      </c>
      <c r="E74" s="41" t="str">
        <f>VLOOKUP(Table1[[#This Row],[Eelarvekonto]],Table5[[Konto]:[Konto nimetus]],2,FALSE)</f>
        <v>Tööjõukuludega kaasnevad maksud ja sotsiaalkindlustusmaksed</v>
      </c>
      <c r="F74" s="41" t="s">
        <v>139</v>
      </c>
      <c r="G74" s="41" t="s">
        <v>24</v>
      </c>
      <c r="J74" s="41" t="s">
        <v>416</v>
      </c>
      <c r="K74" s="41" t="s">
        <v>415</v>
      </c>
      <c r="L74" s="58" t="s">
        <v>419</v>
      </c>
      <c r="M74" s="58" t="str">
        <f>LEFT(Table1[[#This Row],[Tegevusala kood]],2)</f>
        <v>08</v>
      </c>
      <c r="N74" s="41" t="str">
        <f>VLOOKUP(Table1[[#This Row],[Tegevusala kood]],Table4[[Tegevusala kood]:[Tegevusala alanimetus]],2,FALSE)</f>
        <v>Lastelaagrid</v>
      </c>
      <c r="O74" s="41" t="s">
        <v>1</v>
      </c>
      <c r="P74" s="41" t="s">
        <v>1</v>
      </c>
      <c r="Q74" s="41" t="str">
        <f>VLOOKUP(Table1[[#This Row],[Eelarvekonto]],Table5[[Konto]:[Kontode alanimetus]],5,FALSE)</f>
        <v>Tööjõukulud</v>
      </c>
      <c r="R74" s="42" t="str">
        <f>VLOOKUP(Table1[[#This Row],[Tegevusala kood]],Table4[[Tegevusala kood]:[Tegevusala alanimetus]],4,FALSE)</f>
        <v>Noorsootöö ja noortekeskused</v>
      </c>
      <c r="S74" s="53"/>
      <c r="T74" s="53"/>
      <c r="U74" s="53">
        <f>Table1[[#This Row],[Summa]]+Table1[[#This Row],[I Muudatus]]+Table1[[#This Row],[II Muudatus]]</f>
        <v>4087.77</v>
      </c>
    </row>
    <row r="75" spans="1:21" ht="14.25" hidden="1" customHeight="1" x14ac:dyDescent="0.25">
      <c r="A75" s="41" t="s">
        <v>154</v>
      </c>
      <c r="B75" s="41">
        <v>8170</v>
      </c>
      <c r="C75" s="52">
        <v>5002</v>
      </c>
      <c r="D75" s="52" t="str">
        <f>LEFT(Table1[[#This Row],[Eelarvekonto]],2)</f>
        <v>50</v>
      </c>
      <c r="E75" s="41" t="str">
        <f>VLOOKUP(Table1[[#This Row],[Eelarvekonto]],Table5[[Konto]:[Konto nimetus]],2,FALSE)</f>
        <v>Töötajate töötasud</v>
      </c>
      <c r="F75" s="41" t="s">
        <v>139</v>
      </c>
      <c r="G75" s="41" t="s">
        <v>24</v>
      </c>
      <c r="J75" s="41" t="s">
        <v>416</v>
      </c>
      <c r="K75" s="41" t="s">
        <v>415</v>
      </c>
      <c r="L75" s="58" t="s">
        <v>419</v>
      </c>
      <c r="M75" s="58" t="str">
        <f>LEFT(Table1[[#This Row],[Tegevusala kood]],2)</f>
        <v>08</v>
      </c>
      <c r="N75" s="41" t="str">
        <f>VLOOKUP(Table1[[#This Row],[Tegevusala kood]],Table4[[Tegevusala kood]:[Tegevusala alanimetus]],2,FALSE)</f>
        <v>Lastelaagrid</v>
      </c>
      <c r="O75" s="41" t="s">
        <v>1</v>
      </c>
      <c r="P75" s="41" t="s">
        <v>1</v>
      </c>
      <c r="Q75" s="41" t="str">
        <f>VLOOKUP(Table1[[#This Row],[Eelarvekonto]],Table5[[Konto]:[Kontode alanimetus]],5,FALSE)</f>
        <v>Tööjõukulud</v>
      </c>
      <c r="R75" s="42" t="str">
        <f>VLOOKUP(Table1[[#This Row],[Tegevusala kood]],Table4[[Tegevusala kood]:[Tegevusala alanimetus]],4,FALSE)</f>
        <v>Noorsootöö ja noortekeskused</v>
      </c>
      <c r="S75" s="53"/>
      <c r="T75" s="53"/>
      <c r="U75" s="53">
        <f>Table1[[#This Row],[Summa]]+Table1[[#This Row],[I Muudatus]]+Table1[[#This Row],[II Muudatus]]</f>
        <v>8170</v>
      </c>
    </row>
    <row r="76" spans="1:21" ht="14.25" hidden="1" customHeight="1" x14ac:dyDescent="0.25">
      <c r="A76" s="41" t="s">
        <v>160</v>
      </c>
      <c r="B76" s="41">
        <v>1500</v>
      </c>
      <c r="C76" s="52">
        <v>5521</v>
      </c>
      <c r="D76" s="52" t="str">
        <f>LEFT(Table1[[#This Row],[Eelarvekonto]],2)</f>
        <v>55</v>
      </c>
      <c r="E76" s="41" t="str">
        <f>VLOOKUP(Table1[[#This Row],[Eelarvekonto]],Table5[[Konto]:[Konto nimetus]],2,FALSE)</f>
        <v>Toiduained ja toitlustusteenused</v>
      </c>
      <c r="F76" s="41" t="s">
        <v>139</v>
      </c>
      <c r="G76" s="41" t="s">
        <v>24</v>
      </c>
      <c r="J76" s="41" t="s">
        <v>416</v>
      </c>
      <c r="K76" s="41" t="s">
        <v>415</v>
      </c>
      <c r="L76" s="58" t="s">
        <v>419</v>
      </c>
      <c r="M76" s="58" t="str">
        <f>LEFT(Table1[[#This Row],[Tegevusala kood]],2)</f>
        <v>08</v>
      </c>
      <c r="N76" s="41" t="str">
        <f>VLOOKUP(Table1[[#This Row],[Tegevusala kood]],Table4[[Tegevusala kood]:[Tegevusala alanimetus]],2,FALSE)</f>
        <v>Lastelaagrid</v>
      </c>
      <c r="Q76" s="41" t="str">
        <f>VLOOKUP(Table1[[#This Row],[Eelarvekonto]],Table5[[Konto]:[Kontode alanimetus]],5,FALSE)</f>
        <v>Majandamiskulud</v>
      </c>
      <c r="R76" s="42" t="str">
        <f>VLOOKUP(Table1[[#This Row],[Tegevusala kood]],Table4[[Tegevusala kood]:[Tegevusala alanimetus]],4,FALSE)</f>
        <v>Noorsootöö ja noortekeskused</v>
      </c>
      <c r="S76" s="53"/>
      <c r="T76" s="53"/>
      <c r="U76" s="53">
        <f>Table1[[#This Row],[Summa]]+Table1[[#This Row],[I Muudatus]]+Table1[[#This Row],[II Muudatus]]</f>
        <v>1500</v>
      </c>
    </row>
    <row r="77" spans="1:21" ht="14.25" hidden="1" customHeight="1" x14ac:dyDescent="0.25">
      <c r="A77" s="41" t="s">
        <v>142</v>
      </c>
      <c r="B77" s="41">
        <v>600</v>
      </c>
      <c r="C77" s="52">
        <v>5511</v>
      </c>
      <c r="D77" s="52" t="str">
        <f>LEFT(Table1[[#This Row],[Eelarvekonto]],2)</f>
        <v>55</v>
      </c>
      <c r="E77" s="41" t="str">
        <f>VLOOKUP(Table1[[#This Row],[Eelarvekonto]],Table5[[Konto]:[Konto nimetus]],2,FALSE)</f>
        <v>Kinnistute, hoonete ja ruumide majandamiskulud</v>
      </c>
      <c r="F77" s="41" t="s">
        <v>139</v>
      </c>
      <c r="G77" s="41" t="s">
        <v>24</v>
      </c>
      <c r="J77" s="41" t="s">
        <v>416</v>
      </c>
      <c r="K77" s="41" t="s">
        <v>415</v>
      </c>
      <c r="L77" s="58" t="s">
        <v>419</v>
      </c>
      <c r="M77" s="58" t="str">
        <f>LEFT(Table1[[#This Row],[Tegevusala kood]],2)</f>
        <v>08</v>
      </c>
      <c r="N77" s="41" t="str">
        <f>VLOOKUP(Table1[[#This Row],[Tegevusala kood]],Table4[[Tegevusala kood]:[Tegevusala alanimetus]],2,FALSE)</f>
        <v>Lastelaagrid</v>
      </c>
      <c r="Q77" s="41" t="str">
        <f>VLOOKUP(Table1[[#This Row],[Eelarvekonto]],Table5[[Konto]:[Kontode alanimetus]],5,FALSE)</f>
        <v>Majandamiskulud</v>
      </c>
      <c r="R77" s="42" t="str">
        <f>VLOOKUP(Table1[[#This Row],[Tegevusala kood]],Table4[[Tegevusala kood]:[Tegevusala alanimetus]],4,FALSE)</f>
        <v>Noorsootöö ja noortekeskused</v>
      </c>
      <c r="S77" s="53"/>
      <c r="T77" s="53"/>
      <c r="U77" s="53">
        <f>Table1[[#This Row],[Summa]]+Table1[[#This Row],[I Muudatus]]+Table1[[#This Row],[II Muudatus]]</f>
        <v>600</v>
      </c>
    </row>
    <row r="78" spans="1:21" ht="14.25" hidden="1" customHeight="1" x14ac:dyDescent="0.25">
      <c r="A78" s="41" t="s">
        <v>149</v>
      </c>
      <c r="B78" s="41">
        <v>100</v>
      </c>
      <c r="C78" s="52">
        <v>551101</v>
      </c>
      <c r="D78" s="41" t="str">
        <f>LEFT(Table1[[#This Row],[Eelarvekonto]],2)</f>
        <v>55</v>
      </c>
      <c r="E78" s="41" t="str">
        <f>VLOOKUP(Table1[[#This Row],[Eelarvekonto]],Table5[[Konto]:[Konto nimetus]],2,FALSE)</f>
        <v>Elekter</v>
      </c>
      <c r="F78" s="41" t="s">
        <v>139</v>
      </c>
      <c r="G78" s="41" t="s">
        <v>24</v>
      </c>
      <c r="J78" s="41" t="s">
        <v>416</v>
      </c>
      <c r="K78" s="41" t="s">
        <v>415</v>
      </c>
      <c r="L78" s="58" t="s">
        <v>419</v>
      </c>
      <c r="M78" s="58" t="str">
        <f>LEFT(Table1[[#This Row],[Tegevusala kood]],2)</f>
        <v>08</v>
      </c>
      <c r="N78" s="41" t="str">
        <f>VLOOKUP(Table1[[#This Row],[Tegevusala kood]],Table4[[Tegevusala kood]:[Tegevusala alanimetus]],2,FALSE)</f>
        <v>Lastelaagrid</v>
      </c>
      <c r="O78" s="41" t="s">
        <v>1</v>
      </c>
      <c r="P78" s="41" t="s">
        <v>1</v>
      </c>
      <c r="Q78" s="41" t="str">
        <f>VLOOKUP(Table1[[#This Row],[Eelarvekonto]],Table5[[Konto]:[Kontode alanimetus]],5,FALSE)</f>
        <v>Majandamiskulud</v>
      </c>
      <c r="R78" s="42" t="str">
        <f>VLOOKUP(Table1[[#This Row],[Tegevusala kood]],Table4[[Tegevusala kood]:[Tegevusala alanimetus]],4,FALSE)</f>
        <v>Noorsootöö ja noortekeskused</v>
      </c>
      <c r="S78" s="53"/>
      <c r="T78" s="53"/>
      <c r="U78" s="53">
        <f>Table1[[#This Row],[Summa]]+Table1[[#This Row],[I Muudatus]]+Table1[[#This Row],[II Muudatus]]</f>
        <v>100</v>
      </c>
    </row>
    <row r="79" spans="1:21" ht="14.25" hidden="1" customHeight="1" x14ac:dyDescent="0.25">
      <c r="A79" s="41" t="s">
        <v>708</v>
      </c>
      <c r="B79" s="41">
        <v>3924</v>
      </c>
      <c r="C79" s="52">
        <v>5002</v>
      </c>
      <c r="D79" s="52" t="str">
        <f>LEFT(Table1[[#This Row],[Eelarvekonto]],2)</f>
        <v>50</v>
      </c>
      <c r="E79" s="41" t="str">
        <f>VLOOKUP(Table1[[#This Row],[Eelarvekonto]],Table5[[Konto]:[Konto nimetus]],2,FALSE)</f>
        <v>Töötajate töötasud</v>
      </c>
      <c r="F79" s="41" t="s">
        <v>139</v>
      </c>
      <c r="G79" s="41" t="s">
        <v>24</v>
      </c>
      <c r="J79" s="41" t="s">
        <v>416</v>
      </c>
      <c r="K79" s="41" t="s">
        <v>415</v>
      </c>
      <c r="L79" s="58" t="s">
        <v>419</v>
      </c>
      <c r="M79" s="58" t="str">
        <f>LEFT(Table1[[#This Row],[Tegevusala kood]],2)</f>
        <v>08</v>
      </c>
      <c r="N79" s="41" t="str">
        <f>VLOOKUP(Table1[[#This Row],[Tegevusala kood]],Table4[[Tegevusala kood]:[Tegevusala alanimetus]],2,FALSE)</f>
        <v>Lastelaagrid</v>
      </c>
      <c r="O79" s="41" t="s">
        <v>1</v>
      </c>
      <c r="P79" s="41" t="s">
        <v>1</v>
      </c>
      <c r="Q79" s="41" t="str">
        <f>VLOOKUP(Table1[[#This Row],[Eelarvekonto]],Table5[[Konto]:[Kontode alanimetus]],5,FALSE)</f>
        <v>Tööjõukulud</v>
      </c>
      <c r="R79" s="42" t="str">
        <f>VLOOKUP(Table1[[#This Row],[Tegevusala kood]],Table4[[Tegevusala kood]:[Tegevusala alanimetus]],4,FALSE)</f>
        <v>Noorsootöö ja noortekeskused</v>
      </c>
      <c r="S79" s="53"/>
      <c r="T79" s="53"/>
      <c r="U79" s="53">
        <f>Table1[[#This Row],[Summa]]+Table1[[#This Row],[I Muudatus]]+Table1[[#This Row],[II Muudatus]]</f>
        <v>3924</v>
      </c>
    </row>
    <row r="80" spans="1:21" ht="14.25" hidden="1" customHeight="1" x14ac:dyDescent="0.25">
      <c r="A80" s="41" t="s">
        <v>497</v>
      </c>
      <c r="B80" s="41">
        <v>792</v>
      </c>
      <c r="C80" s="52">
        <v>5513081</v>
      </c>
      <c r="D80" s="41" t="str">
        <f>LEFT(Table1[[#This Row],[Eelarvekonto]],2)</f>
        <v>55</v>
      </c>
      <c r="E80" s="41" t="str">
        <f>VLOOKUP(Table1[[#This Row],[Eelarvekonto]],Table5[[Konto]:[Konto nimetus]],2,FALSE)</f>
        <v>Isikliku sõiduauto kompensatsioon</v>
      </c>
      <c r="F80" s="41" t="s">
        <v>139</v>
      </c>
      <c r="G80" s="41" t="s">
        <v>24</v>
      </c>
      <c r="J80" s="41" t="s">
        <v>247</v>
      </c>
      <c r="K80" s="41" t="s">
        <v>95</v>
      </c>
      <c r="L80" s="58" t="s">
        <v>246</v>
      </c>
      <c r="M80" s="58" t="str">
        <f>LEFT(Table1[[#This Row],[Tegevusala kood]],2)</f>
        <v>08</v>
      </c>
      <c r="N80" s="41" t="str">
        <f>VLOOKUP(Table1[[#This Row],[Tegevusala kood]],Table4[[Tegevusala kood]:[Tegevusala alanimetus]],2,FALSE)</f>
        <v>Laekvere Raamatukogu</v>
      </c>
      <c r="O80" s="41" t="s">
        <v>1</v>
      </c>
      <c r="P80" s="41" t="s">
        <v>1</v>
      </c>
      <c r="Q80" s="41" t="str">
        <f>VLOOKUP(Table1[[#This Row],[Eelarvekonto]],Table5[[Konto]:[Kontode alanimetus]],5,FALSE)</f>
        <v>Majandamiskulud</v>
      </c>
      <c r="R80" s="42" t="str">
        <f>VLOOKUP(Table1[[#This Row],[Tegevusala kood]],Table4[[Tegevusala kood]:[Tegevusala alanimetus]],4,FALSE)</f>
        <v>Raamatukogud</v>
      </c>
      <c r="S80" s="53"/>
      <c r="T80" s="53"/>
      <c r="U80" s="53">
        <f>Table1[[#This Row],[Summa]]+Table1[[#This Row],[I Muudatus]]+Table1[[#This Row],[II Muudatus]]</f>
        <v>792</v>
      </c>
    </row>
    <row r="81" spans="1:21" ht="14.25" hidden="1" customHeight="1" x14ac:dyDescent="0.25">
      <c r="A81" s="41" t="s">
        <v>158</v>
      </c>
      <c r="B81" s="41">
        <v>6903.31</v>
      </c>
      <c r="C81" s="52">
        <v>506</v>
      </c>
      <c r="D81" s="41" t="str">
        <f>LEFT(Table1[[#This Row],[Eelarvekonto]],2)</f>
        <v>50</v>
      </c>
      <c r="E81" s="41" t="str">
        <f>VLOOKUP(Table1[[#This Row],[Eelarvekonto]],Table5[[Konto]:[Konto nimetus]],2,FALSE)</f>
        <v>Tööjõukuludega kaasnevad maksud ja sotsiaalkindlustusmaksed</v>
      </c>
      <c r="F81" s="41" t="s">
        <v>139</v>
      </c>
      <c r="G81" s="41" t="s">
        <v>24</v>
      </c>
      <c r="J81" s="41" t="s">
        <v>247</v>
      </c>
      <c r="K81" s="41" t="s">
        <v>95</v>
      </c>
      <c r="L81" s="58" t="s">
        <v>246</v>
      </c>
      <c r="M81" s="58" t="str">
        <f>LEFT(Table1[[#This Row],[Tegevusala kood]],2)</f>
        <v>08</v>
      </c>
      <c r="N81" s="41" t="str">
        <f>VLOOKUP(Table1[[#This Row],[Tegevusala kood]],Table4[[Tegevusala kood]:[Tegevusala alanimetus]],2,FALSE)</f>
        <v>Laekvere Raamatukogu</v>
      </c>
      <c r="O81" s="41" t="s">
        <v>1</v>
      </c>
      <c r="P81" s="41" t="s">
        <v>1</v>
      </c>
      <c r="Q81" s="41" t="str">
        <f>VLOOKUP(Table1[[#This Row],[Eelarvekonto]],Table5[[Konto]:[Kontode alanimetus]],5,FALSE)</f>
        <v>Tööjõukulud</v>
      </c>
      <c r="R81" s="42" t="str">
        <f>VLOOKUP(Table1[[#This Row],[Tegevusala kood]],Table4[[Tegevusala kood]:[Tegevusala alanimetus]],4,FALSE)</f>
        <v>Raamatukogud</v>
      </c>
      <c r="S81" s="53"/>
      <c r="T81" s="53"/>
      <c r="U81" s="53">
        <f>Table1[[#This Row],[Summa]]+Table1[[#This Row],[I Muudatus]]+Table1[[#This Row],[II Muudatus]]</f>
        <v>6903.31</v>
      </c>
    </row>
    <row r="82" spans="1:21" ht="14.25" hidden="1" customHeight="1" x14ac:dyDescent="0.25">
      <c r="A82" s="41" t="s">
        <v>493</v>
      </c>
      <c r="B82" s="41">
        <v>8832</v>
      </c>
      <c r="C82" s="52">
        <v>5002</v>
      </c>
      <c r="D82" s="41" t="str">
        <f>LEFT(Table1[[#This Row],[Eelarvekonto]],2)</f>
        <v>50</v>
      </c>
      <c r="E82" s="41" t="str">
        <f>VLOOKUP(Table1[[#This Row],[Eelarvekonto]],Table5[[Konto]:[Konto nimetus]],2,FALSE)</f>
        <v>Töötajate töötasud</v>
      </c>
      <c r="F82" s="41" t="s">
        <v>139</v>
      </c>
      <c r="G82" s="41" t="s">
        <v>24</v>
      </c>
      <c r="J82" s="41" t="s">
        <v>247</v>
      </c>
      <c r="K82" s="41" t="s">
        <v>95</v>
      </c>
      <c r="L82" s="58" t="s">
        <v>246</v>
      </c>
      <c r="M82" s="58" t="str">
        <f>LEFT(Table1[[#This Row],[Tegevusala kood]],2)</f>
        <v>08</v>
      </c>
      <c r="N82" s="41" t="str">
        <f>VLOOKUP(Table1[[#This Row],[Tegevusala kood]],Table4[[Tegevusala kood]:[Tegevusala alanimetus]],2,FALSE)</f>
        <v>Laekvere Raamatukogu</v>
      </c>
      <c r="O82" s="41" t="s">
        <v>1</v>
      </c>
      <c r="P82" s="41" t="s">
        <v>1</v>
      </c>
      <c r="Q82" s="41" t="str">
        <f>VLOOKUP(Table1[[#This Row],[Eelarvekonto]],Table5[[Konto]:[Kontode alanimetus]],5,FALSE)</f>
        <v>Tööjõukulud</v>
      </c>
      <c r="R82" s="42" t="str">
        <f>VLOOKUP(Table1[[#This Row],[Tegevusala kood]],Table4[[Tegevusala kood]:[Tegevusala alanimetus]],4,FALSE)</f>
        <v>Raamatukogud</v>
      </c>
      <c r="S82" s="53"/>
      <c r="T82" s="53"/>
      <c r="U82" s="53">
        <f>Table1[[#This Row],[Summa]]+Table1[[#This Row],[I Muudatus]]+Table1[[#This Row],[II Muudatus]]</f>
        <v>8832</v>
      </c>
    </row>
    <row r="83" spans="1:21" ht="14.25" hidden="1" customHeight="1" x14ac:dyDescent="0.25">
      <c r="A83" s="41" t="s">
        <v>462</v>
      </c>
      <c r="B83" s="41">
        <v>11592</v>
      </c>
      <c r="C83" s="52">
        <v>5002</v>
      </c>
      <c r="D83" s="52" t="str">
        <f>LEFT(Table1[[#This Row],[Eelarvekonto]],2)</f>
        <v>50</v>
      </c>
      <c r="E83" s="41" t="str">
        <f>VLOOKUP(Table1[[#This Row],[Eelarvekonto]],Table5[[Konto]:[Konto nimetus]],2,FALSE)</f>
        <v>Töötajate töötasud</v>
      </c>
      <c r="F83" s="41" t="s">
        <v>139</v>
      </c>
      <c r="G83" s="41" t="s">
        <v>24</v>
      </c>
      <c r="J83" s="41" t="s">
        <v>247</v>
      </c>
      <c r="K83" s="41" t="s">
        <v>95</v>
      </c>
      <c r="L83" s="58" t="s">
        <v>246</v>
      </c>
      <c r="M83" s="58" t="str">
        <f>LEFT(Table1[[#This Row],[Tegevusala kood]],2)</f>
        <v>08</v>
      </c>
      <c r="N83" s="41" t="str">
        <f>VLOOKUP(Table1[[#This Row],[Tegevusala kood]],Table4[[Tegevusala kood]:[Tegevusala alanimetus]],2,FALSE)</f>
        <v>Laekvere Raamatukogu</v>
      </c>
      <c r="O83" s="41" t="s">
        <v>1</v>
      </c>
      <c r="P83" s="41" t="s">
        <v>1</v>
      </c>
      <c r="Q83" s="41" t="str">
        <f>VLOOKUP(Table1[[#This Row],[Eelarvekonto]],Table5[[Konto]:[Kontode alanimetus]],5,FALSE)</f>
        <v>Tööjõukulud</v>
      </c>
      <c r="R83" s="42" t="str">
        <f>VLOOKUP(Table1[[#This Row],[Tegevusala kood]],Table4[[Tegevusala kood]:[Tegevusala alanimetus]],4,FALSE)</f>
        <v>Raamatukogud</v>
      </c>
      <c r="S83" s="53"/>
      <c r="T83" s="53"/>
      <c r="U83" s="53">
        <f>Table1[[#This Row],[Summa]]+Table1[[#This Row],[I Muudatus]]+Table1[[#This Row],[II Muudatus]]</f>
        <v>11592</v>
      </c>
    </row>
    <row r="84" spans="1:21" ht="14.25" hidden="1" customHeight="1" x14ac:dyDescent="0.25">
      <c r="A84" s="41" t="s">
        <v>496</v>
      </c>
      <c r="B84" s="41">
        <v>1039.44</v>
      </c>
      <c r="C84" s="52">
        <v>5514</v>
      </c>
      <c r="D84" s="52" t="str">
        <f>LEFT(Table1[[#This Row],[Eelarvekonto]],2)</f>
        <v>55</v>
      </c>
      <c r="E84" s="41" t="str">
        <f>VLOOKUP(Table1[[#This Row],[Eelarvekonto]],Table5[[Konto]:[Konto nimetus]],2,FALSE)</f>
        <v>Info- ja kommunikatsioonitehnoloogia kulud</v>
      </c>
      <c r="F84" s="41" t="s">
        <v>139</v>
      </c>
      <c r="G84" s="41" t="s">
        <v>24</v>
      </c>
      <c r="J84" s="41" t="s">
        <v>247</v>
      </c>
      <c r="K84" s="41" t="s">
        <v>95</v>
      </c>
      <c r="L84" s="58" t="s">
        <v>246</v>
      </c>
      <c r="M84" s="58" t="str">
        <f>LEFT(Table1[[#This Row],[Tegevusala kood]],2)</f>
        <v>08</v>
      </c>
      <c r="N84" s="41" t="str">
        <f>VLOOKUP(Table1[[#This Row],[Tegevusala kood]],Table4[[Tegevusala kood]:[Tegevusala alanimetus]],2,FALSE)</f>
        <v>Laekvere Raamatukogu</v>
      </c>
      <c r="O84" s="41" t="s">
        <v>1</v>
      </c>
      <c r="P84" s="41" t="s">
        <v>1</v>
      </c>
      <c r="Q84" s="41" t="str">
        <f>VLOOKUP(Table1[[#This Row],[Eelarvekonto]],Table5[[Konto]:[Kontode alanimetus]],5,FALSE)</f>
        <v>Majandamiskulud</v>
      </c>
      <c r="R84" s="42" t="str">
        <f>VLOOKUP(Table1[[#This Row],[Tegevusala kood]],Table4[[Tegevusala kood]:[Tegevusala alanimetus]],4,FALSE)</f>
        <v>Raamatukogud</v>
      </c>
      <c r="S84" s="53"/>
      <c r="T84" s="53"/>
      <c r="U84" s="53">
        <f>Table1[[#This Row],[Summa]]+Table1[[#This Row],[I Muudatus]]+Table1[[#This Row],[II Muudatus]]</f>
        <v>1039.44</v>
      </c>
    </row>
    <row r="85" spans="1:21" ht="14.25" hidden="1" customHeight="1" x14ac:dyDescent="0.25">
      <c r="A85" s="41" t="s">
        <v>490</v>
      </c>
      <c r="B85" s="41">
        <v>720.12</v>
      </c>
      <c r="C85" s="52">
        <v>5514</v>
      </c>
      <c r="D85" s="52" t="str">
        <f>LEFT(Table1[[#This Row],[Eelarvekonto]],2)</f>
        <v>55</v>
      </c>
      <c r="E85" s="41" t="str">
        <f>VLOOKUP(Table1[[#This Row],[Eelarvekonto]],Table5[[Konto]:[Konto nimetus]],2,FALSE)</f>
        <v>Info- ja kommunikatsioonitehnoloogia kulud</v>
      </c>
      <c r="F85" s="41" t="s">
        <v>139</v>
      </c>
      <c r="G85" s="41" t="s">
        <v>24</v>
      </c>
      <c r="J85" s="41" t="s">
        <v>247</v>
      </c>
      <c r="K85" s="41" t="s">
        <v>95</v>
      </c>
      <c r="L85" s="58" t="s">
        <v>246</v>
      </c>
      <c r="M85" s="58" t="str">
        <f>LEFT(Table1[[#This Row],[Tegevusala kood]],2)</f>
        <v>08</v>
      </c>
      <c r="N85" s="41" t="str">
        <f>VLOOKUP(Table1[[#This Row],[Tegevusala kood]],Table4[[Tegevusala kood]:[Tegevusala alanimetus]],2,FALSE)</f>
        <v>Laekvere Raamatukogu</v>
      </c>
      <c r="O85" s="41" t="s">
        <v>1</v>
      </c>
      <c r="P85" s="41" t="s">
        <v>1</v>
      </c>
      <c r="Q85" s="41" t="str">
        <f>VLOOKUP(Table1[[#This Row],[Eelarvekonto]],Table5[[Konto]:[Kontode alanimetus]],5,FALSE)</f>
        <v>Majandamiskulud</v>
      </c>
      <c r="R85" s="42" t="str">
        <f>VLOOKUP(Table1[[#This Row],[Tegevusala kood]],Table4[[Tegevusala kood]:[Tegevusala alanimetus]],4,FALSE)</f>
        <v>Raamatukogud</v>
      </c>
      <c r="S85" s="53"/>
      <c r="T85" s="53"/>
      <c r="U85" s="53">
        <f>Table1[[#This Row],[Summa]]+Table1[[#This Row],[I Muudatus]]+Table1[[#This Row],[II Muudatus]]</f>
        <v>720.12</v>
      </c>
    </row>
    <row r="86" spans="1:21" ht="14.25" hidden="1" customHeight="1" x14ac:dyDescent="0.25">
      <c r="A86" s="41" t="s">
        <v>491</v>
      </c>
      <c r="B86" s="41">
        <v>100</v>
      </c>
      <c r="C86" s="52">
        <v>5500</v>
      </c>
      <c r="D86" s="52" t="str">
        <f>LEFT(Table1[[#This Row],[Eelarvekonto]],2)</f>
        <v>55</v>
      </c>
      <c r="E86" s="41" t="str">
        <f>VLOOKUP(Table1[[#This Row],[Eelarvekonto]],Table5[[Konto]:[Konto nimetus]],2,FALSE)</f>
        <v>Administreerimiskulud</v>
      </c>
      <c r="F86" s="41" t="s">
        <v>139</v>
      </c>
      <c r="G86" s="41" t="s">
        <v>24</v>
      </c>
      <c r="J86" s="41" t="s">
        <v>247</v>
      </c>
      <c r="K86" s="41" t="s">
        <v>95</v>
      </c>
      <c r="L86" s="58" t="s">
        <v>246</v>
      </c>
      <c r="M86" s="58" t="str">
        <f>LEFT(Table1[[#This Row],[Tegevusala kood]],2)</f>
        <v>08</v>
      </c>
      <c r="N86" s="41" t="str">
        <f>VLOOKUP(Table1[[#This Row],[Tegevusala kood]],Table4[[Tegevusala kood]:[Tegevusala alanimetus]],2,FALSE)</f>
        <v>Laekvere Raamatukogu</v>
      </c>
      <c r="O86" s="41" t="s">
        <v>1</v>
      </c>
      <c r="P86" s="41" t="s">
        <v>1</v>
      </c>
      <c r="Q86" s="41" t="str">
        <f>VLOOKUP(Table1[[#This Row],[Eelarvekonto]],Table5[[Konto]:[Kontode alanimetus]],5,FALSE)</f>
        <v>Majandamiskulud</v>
      </c>
      <c r="R86" s="42" t="str">
        <f>VLOOKUP(Table1[[#This Row],[Tegevusala kood]],Table4[[Tegevusala kood]:[Tegevusala alanimetus]],4,FALSE)</f>
        <v>Raamatukogud</v>
      </c>
      <c r="S86" s="53"/>
      <c r="T86" s="53"/>
      <c r="U86" s="53">
        <f>Table1[[#This Row],[Summa]]+Table1[[#This Row],[I Muudatus]]+Table1[[#This Row],[II Muudatus]]</f>
        <v>100</v>
      </c>
    </row>
    <row r="87" spans="1:21" ht="14.25" hidden="1" customHeight="1" x14ac:dyDescent="0.25">
      <c r="A87" s="41" t="s">
        <v>1526</v>
      </c>
      <c r="B87" s="41">
        <v>3945</v>
      </c>
      <c r="C87" s="52">
        <v>5002</v>
      </c>
      <c r="D87" s="52" t="str">
        <f>LEFT(Table1[[#This Row],[Eelarvekonto]],2)</f>
        <v>50</v>
      </c>
      <c r="E87" s="41" t="str">
        <f>VLOOKUP(Table1[[#This Row],[Eelarvekonto]],Table5[[Konto]:[Konto nimetus]],2,FALSE)</f>
        <v>Töötajate töötasud</v>
      </c>
      <c r="F87" s="41" t="s">
        <v>139</v>
      </c>
      <c r="G87" s="41" t="s">
        <v>24</v>
      </c>
      <c r="J87" s="41" t="s">
        <v>290</v>
      </c>
      <c r="K87" s="41" t="s">
        <v>288</v>
      </c>
      <c r="L87" s="58" t="s">
        <v>289</v>
      </c>
      <c r="M87" s="58" t="str">
        <f>LEFT(Table1[[#This Row],[Tegevusala kood]],2)</f>
        <v>09</v>
      </c>
      <c r="N87" s="41" t="str">
        <f>VLOOKUP(Table1[[#This Row],[Tegevusala kood]],Table4[[Tegevusala kood]:[Tegevusala alanimetus]],2,FALSE)</f>
        <v>Laekvere Lasteaed</v>
      </c>
      <c r="O87" s="41" t="s">
        <v>1</v>
      </c>
      <c r="P87" s="41" t="s">
        <v>1</v>
      </c>
      <c r="Q87" s="41" t="str">
        <f>VLOOKUP(Table1[[#This Row],[Eelarvekonto]],Table5[[Konto]:[Kontode alanimetus]],5,FALSE)</f>
        <v>Tööjõukulud</v>
      </c>
      <c r="R87" s="42" t="str">
        <f>VLOOKUP(Table1[[#This Row],[Tegevusala kood]],Table4[[Tegevusala kood]:[Tegevusala alanimetus]],4,FALSE)</f>
        <v>Alusharidus</v>
      </c>
      <c r="S87" s="53"/>
      <c r="T87" s="53"/>
      <c r="U87" s="53">
        <f>Table1[[#This Row],[Summa]]+Table1[[#This Row],[I Muudatus]]+Table1[[#This Row],[II Muudatus]]</f>
        <v>3945</v>
      </c>
    </row>
    <row r="88" spans="1:21" ht="14.25" hidden="1" customHeight="1" x14ac:dyDescent="0.25">
      <c r="A88" s="41" t="s">
        <v>1015</v>
      </c>
      <c r="B88" s="41">
        <v>9213.8799999999992</v>
      </c>
      <c r="C88" s="52">
        <v>5521</v>
      </c>
      <c r="D88" s="52" t="str">
        <f>LEFT(Table1[[#This Row],[Eelarvekonto]],2)</f>
        <v>55</v>
      </c>
      <c r="E88" s="41" t="str">
        <f>VLOOKUP(Table1[[#This Row],[Eelarvekonto]],Table5[[Konto]:[Konto nimetus]],2,FALSE)</f>
        <v>Toiduained ja toitlustusteenused</v>
      </c>
      <c r="F88" s="41" t="s">
        <v>139</v>
      </c>
      <c r="G88" s="41" t="s">
        <v>24</v>
      </c>
      <c r="J88" s="41" t="s">
        <v>290</v>
      </c>
      <c r="K88" s="41" t="s">
        <v>288</v>
      </c>
      <c r="L88" s="58" t="s">
        <v>289</v>
      </c>
      <c r="M88" s="58" t="str">
        <f>LEFT(Table1[[#This Row],[Tegevusala kood]],2)</f>
        <v>09</v>
      </c>
      <c r="N88" s="41" t="str">
        <f>VLOOKUP(Table1[[#This Row],[Tegevusala kood]],Table4[[Tegevusala kood]:[Tegevusala alanimetus]],2,FALSE)</f>
        <v>Laekvere Lasteaed</v>
      </c>
      <c r="O88" s="41" t="s">
        <v>1</v>
      </c>
      <c r="P88" s="41" t="s">
        <v>1</v>
      </c>
      <c r="Q88" s="41" t="str">
        <f>VLOOKUP(Table1[[#This Row],[Eelarvekonto]],Table5[[Konto]:[Kontode alanimetus]],5,FALSE)</f>
        <v>Majandamiskulud</v>
      </c>
      <c r="R88" s="42" t="str">
        <f>VLOOKUP(Table1[[#This Row],[Tegevusala kood]],Table4[[Tegevusala kood]:[Tegevusala alanimetus]],4,FALSE)</f>
        <v>Alusharidus</v>
      </c>
      <c r="S88" s="53"/>
      <c r="T88" s="53"/>
      <c r="U88" s="53">
        <f>Table1[[#This Row],[Summa]]+Table1[[#This Row],[I Muudatus]]+Table1[[#This Row],[II Muudatus]]</f>
        <v>9213.8799999999992</v>
      </c>
    </row>
    <row r="89" spans="1:21" ht="14.25" hidden="1" customHeight="1" x14ac:dyDescent="0.25">
      <c r="A89" s="42" t="s">
        <v>529</v>
      </c>
      <c r="B89" s="42">
        <v>25272</v>
      </c>
      <c r="C89" s="53">
        <v>5002</v>
      </c>
      <c r="D89" s="53" t="str">
        <f>LEFT(Table1[[#This Row],[Eelarvekonto]],2)</f>
        <v>50</v>
      </c>
      <c r="E89" s="41" t="str">
        <f>VLOOKUP(Table1[[#This Row],[Eelarvekonto]],Table5[[Konto]:[Konto nimetus]],2,FALSE)</f>
        <v>Töötajate töötasud</v>
      </c>
      <c r="F89" s="41" t="s">
        <v>139</v>
      </c>
      <c r="G89" s="41" t="s">
        <v>24</v>
      </c>
      <c r="J89" s="41" t="s">
        <v>290</v>
      </c>
      <c r="K89" s="41" t="s">
        <v>288</v>
      </c>
      <c r="L89" s="58" t="s">
        <v>289</v>
      </c>
      <c r="M89" s="74" t="str">
        <f>LEFT(Table1[[#This Row],[Tegevusala kood]],2)</f>
        <v>09</v>
      </c>
      <c r="N89" s="53" t="str">
        <f>VLOOKUP(Table1[[#This Row],[Tegevusala kood]],Table4[[Tegevusala kood]:[Tegevusala alanimetus]],2,FALSE)</f>
        <v>Laekvere Lasteaed</v>
      </c>
      <c r="O89" s="42"/>
      <c r="P89" s="42"/>
      <c r="Q89" s="53" t="str">
        <f>VLOOKUP(Table1[[#This Row],[Eelarvekonto]],Table5[[Konto]:[Kontode alanimetus]],5,FALSE)</f>
        <v>Tööjõukulud</v>
      </c>
      <c r="R89" s="53" t="str">
        <f>VLOOKUP(Table1[[#This Row],[Tegevusala kood]],Table4[[Tegevusala kood]:[Tegevusala alanimetus]],4,FALSE)</f>
        <v>Alusharidus</v>
      </c>
      <c r="S89" s="53"/>
      <c r="T89" s="53"/>
      <c r="U89" s="53">
        <f>Table1[[#This Row],[Summa]]+Table1[[#This Row],[I Muudatus]]+Table1[[#This Row],[II Muudatus]]</f>
        <v>25272</v>
      </c>
    </row>
    <row r="90" spans="1:21" ht="14.25" hidden="1" customHeight="1" x14ac:dyDescent="0.25">
      <c r="A90" s="41" t="s">
        <v>528</v>
      </c>
      <c r="B90" s="41">
        <v>91512</v>
      </c>
      <c r="C90" s="52">
        <v>5002</v>
      </c>
      <c r="D90" s="52" t="str">
        <f>LEFT(Table1[[#This Row],[Eelarvekonto]],2)</f>
        <v>50</v>
      </c>
      <c r="E90" s="41" t="str">
        <f>VLOOKUP(Table1[[#This Row],[Eelarvekonto]],Table5[[Konto]:[Konto nimetus]],2,FALSE)</f>
        <v>Töötajate töötasud</v>
      </c>
      <c r="F90" s="41" t="s">
        <v>139</v>
      </c>
      <c r="G90" s="41" t="s">
        <v>24</v>
      </c>
      <c r="J90" s="41" t="s">
        <v>290</v>
      </c>
      <c r="K90" s="41" t="s">
        <v>288</v>
      </c>
      <c r="L90" s="58" t="s">
        <v>289</v>
      </c>
      <c r="M90" s="58" t="str">
        <f>LEFT(Table1[[#This Row],[Tegevusala kood]],2)</f>
        <v>09</v>
      </c>
      <c r="N90" s="41" t="str">
        <f>VLOOKUP(Table1[[#This Row],[Tegevusala kood]],Table4[[Tegevusala kood]:[Tegevusala alanimetus]],2,FALSE)</f>
        <v>Laekvere Lasteaed</v>
      </c>
      <c r="O90" s="41" t="s">
        <v>1</v>
      </c>
      <c r="P90" s="41" t="s">
        <v>1</v>
      </c>
      <c r="Q90" s="41" t="str">
        <f>VLOOKUP(Table1[[#This Row],[Eelarvekonto]],Table5[[Konto]:[Kontode alanimetus]],5,FALSE)</f>
        <v>Tööjõukulud</v>
      </c>
      <c r="R90" s="42" t="str">
        <f>VLOOKUP(Table1[[#This Row],[Tegevusala kood]],Table4[[Tegevusala kood]:[Tegevusala alanimetus]],4,FALSE)</f>
        <v>Alusharidus</v>
      </c>
      <c r="S90" s="53"/>
      <c r="T90" s="53"/>
      <c r="U90" s="53">
        <f>Table1[[#This Row],[Summa]]+Table1[[#This Row],[I Muudatus]]+Table1[[#This Row],[II Muudatus]]</f>
        <v>91512</v>
      </c>
    </row>
    <row r="91" spans="1:21" ht="14.25" hidden="1" customHeight="1" x14ac:dyDescent="0.25">
      <c r="A91" s="41" t="s">
        <v>158</v>
      </c>
      <c r="B91" s="41">
        <v>48846.41</v>
      </c>
      <c r="C91" s="52">
        <v>506</v>
      </c>
      <c r="D91" s="41" t="str">
        <f>LEFT(Table1[[#This Row],[Eelarvekonto]],2)</f>
        <v>50</v>
      </c>
      <c r="E91" s="41" t="str">
        <f>VLOOKUP(Table1[[#This Row],[Eelarvekonto]],Table5[[Konto]:[Konto nimetus]],2,FALSE)</f>
        <v>Tööjõukuludega kaasnevad maksud ja sotsiaalkindlustusmaksed</v>
      </c>
      <c r="F91" s="41" t="s">
        <v>139</v>
      </c>
      <c r="G91" s="41" t="s">
        <v>24</v>
      </c>
      <c r="J91" s="41" t="s">
        <v>290</v>
      </c>
      <c r="K91" s="41" t="s">
        <v>288</v>
      </c>
      <c r="L91" s="58" t="s">
        <v>289</v>
      </c>
      <c r="M91" s="58" t="str">
        <f>LEFT(Table1[[#This Row],[Tegevusala kood]],2)</f>
        <v>09</v>
      </c>
      <c r="N91" s="41" t="str">
        <f>VLOOKUP(Table1[[#This Row],[Tegevusala kood]],Table4[[Tegevusala kood]:[Tegevusala alanimetus]],2,FALSE)</f>
        <v>Laekvere Lasteaed</v>
      </c>
      <c r="O91" s="41" t="s">
        <v>1</v>
      </c>
      <c r="P91" s="41" t="s">
        <v>1</v>
      </c>
      <c r="Q91" s="41" t="str">
        <f>VLOOKUP(Table1[[#This Row],[Eelarvekonto]],Table5[[Konto]:[Kontode alanimetus]],5,FALSE)</f>
        <v>Tööjõukulud</v>
      </c>
      <c r="R91" s="42" t="str">
        <f>VLOOKUP(Table1[[#This Row],[Tegevusala kood]],Table4[[Tegevusala kood]:[Tegevusala alanimetus]],4,FALSE)</f>
        <v>Alusharidus</v>
      </c>
      <c r="S91" s="53"/>
      <c r="T91" s="53"/>
      <c r="U91" s="53">
        <f>Table1[[#This Row],[Summa]]+Table1[[#This Row],[I Muudatus]]+Table1[[#This Row],[II Muudatus]]</f>
        <v>48846.41</v>
      </c>
    </row>
    <row r="92" spans="1:21" ht="14.25" hidden="1" customHeight="1" x14ac:dyDescent="0.25">
      <c r="A92" s="41" t="s">
        <v>544</v>
      </c>
      <c r="B92" s="41">
        <v>3813</v>
      </c>
      <c r="C92" s="52">
        <v>5002</v>
      </c>
      <c r="D92" s="52" t="str">
        <f>LEFT(Table1[[#This Row],[Eelarvekonto]],2)</f>
        <v>50</v>
      </c>
      <c r="E92" s="41" t="str">
        <f>VLOOKUP(Table1[[#This Row],[Eelarvekonto]],Table5[[Konto]:[Konto nimetus]],2,FALSE)</f>
        <v>Töötajate töötasud</v>
      </c>
      <c r="F92" s="41" t="s">
        <v>139</v>
      </c>
      <c r="G92" s="41" t="s">
        <v>24</v>
      </c>
      <c r="J92" s="41" t="s">
        <v>290</v>
      </c>
      <c r="K92" s="41" t="s">
        <v>288</v>
      </c>
      <c r="L92" s="58" t="s">
        <v>289</v>
      </c>
      <c r="M92" s="58" t="str">
        <f>LEFT(Table1[[#This Row],[Tegevusala kood]],2)</f>
        <v>09</v>
      </c>
      <c r="N92" s="41" t="str">
        <f>VLOOKUP(Table1[[#This Row],[Tegevusala kood]],Table4[[Tegevusala kood]:[Tegevusala alanimetus]],2,FALSE)</f>
        <v>Laekvere Lasteaed</v>
      </c>
      <c r="O92" s="41" t="s">
        <v>1</v>
      </c>
      <c r="P92" s="41" t="s">
        <v>1</v>
      </c>
      <c r="Q92" s="41" t="str">
        <f>VLOOKUP(Table1[[#This Row],[Eelarvekonto]],Table5[[Konto]:[Kontode alanimetus]],5,FALSE)</f>
        <v>Tööjõukulud</v>
      </c>
      <c r="R92" s="42" t="str">
        <f>VLOOKUP(Table1[[#This Row],[Tegevusala kood]],Table4[[Tegevusala kood]:[Tegevusala alanimetus]],4,FALSE)</f>
        <v>Alusharidus</v>
      </c>
      <c r="S92" s="53"/>
      <c r="T92" s="53"/>
      <c r="U92" s="53">
        <f>Table1[[#This Row],[Summa]]+Table1[[#This Row],[I Muudatus]]+Table1[[#This Row],[II Muudatus]]</f>
        <v>3813</v>
      </c>
    </row>
    <row r="93" spans="1:21" ht="14.25" hidden="1" customHeight="1" x14ac:dyDescent="0.25">
      <c r="A93" s="41" t="s">
        <v>545</v>
      </c>
      <c r="B93" s="41">
        <v>4236</v>
      </c>
      <c r="C93" s="52">
        <v>5002</v>
      </c>
      <c r="D93" s="52" t="str">
        <f>LEFT(Table1[[#This Row],[Eelarvekonto]],2)</f>
        <v>50</v>
      </c>
      <c r="E93" s="41" t="str">
        <f>VLOOKUP(Table1[[#This Row],[Eelarvekonto]],Table5[[Konto]:[Konto nimetus]],2,FALSE)</f>
        <v>Töötajate töötasud</v>
      </c>
      <c r="F93" s="41" t="s">
        <v>139</v>
      </c>
      <c r="G93" s="41" t="s">
        <v>24</v>
      </c>
      <c r="J93" s="41" t="s">
        <v>290</v>
      </c>
      <c r="K93" s="41" t="s">
        <v>288</v>
      </c>
      <c r="L93" s="58" t="s">
        <v>289</v>
      </c>
      <c r="M93" s="58" t="str">
        <f>LEFT(Table1[[#This Row],[Tegevusala kood]],2)</f>
        <v>09</v>
      </c>
      <c r="N93" s="41" t="str">
        <f>VLOOKUP(Table1[[#This Row],[Tegevusala kood]],Table4[[Tegevusala kood]:[Tegevusala alanimetus]],2,FALSE)</f>
        <v>Laekvere Lasteaed</v>
      </c>
      <c r="O93" s="41" t="s">
        <v>1</v>
      </c>
      <c r="P93" s="41" t="s">
        <v>1</v>
      </c>
      <c r="Q93" s="41" t="str">
        <f>VLOOKUP(Table1[[#This Row],[Eelarvekonto]],Table5[[Konto]:[Kontode alanimetus]],5,FALSE)</f>
        <v>Tööjõukulud</v>
      </c>
      <c r="R93" s="42" t="str">
        <f>VLOOKUP(Table1[[#This Row],[Tegevusala kood]],Table4[[Tegevusala kood]:[Tegevusala alanimetus]],4,FALSE)</f>
        <v>Alusharidus</v>
      </c>
      <c r="S93" s="53"/>
      <c r="T93" s="53"/>
      <c r="U93" s="53">
        <f>Table1[[#This Row],[Summa]]+Table1[[#This Row],[I Muudatus]]+Table1[[#This Row],[II Muudatus]]</f>
        <v>4236</v>
      </c>
    </row>
    <row r="94" spans="1:21" ht="14.25" hidden="1" customHeight="1" x14ac:dyDescent="0.25">
      <c r="A94" s="41" t="s">
        <v>556</v>
      </c>
      <c r="B94" s="41">
        <v>7848</v>
      </c>
      <c r="C94" s="52">
        <v>5002</v>
      </c>
      <c r="D94" s="52" t="str">
        <f>LEFT(Table1[[#This Row],[Eelarvekonto]],2)</f>
        <v>50</v>
      </c>
      <c r="E94" s="41" t="str">
        <f>VLOOKUP(Table1[[#This Row],[Eelarvekonto]],Table5[[Konto]:[Konto nimetus]],2,FALSE)</f>
        <v>Töötajate töötasud</v>
      </c>
      <c r="F94" s="41" t="s">
        <v>139</v>
      </c>
      <c r="G94" s="41" t="s">
        <v>24</v>
      </c>
      <c r="J94" s="41" t="s">
        <v>290</v>
      </c>
      <c r="K94" s="41" t="s">
        <v>288</v>
      </c>
      <c r="L94" s="58" t="s">
        <v>289</v>
      </c>
      <c r="M94" s="58" t="str">
        <f>LEFT(Table1[[#This Row],[Tegevusala kood]],2)</f>
        <v>09</v>
      </c>
      <c r="N94" s="41" t="str">
        <f>VLOOKUP(Table1[[#This Row],[Tegevusala kood]],Table4[[Tegevusala kood]:[Tegevusala alanimetus]],2,FALSE)</f>
        <v>Laekvere Lasteaed</v>
      </c>
      <c r="O94" s="41" t="s">
        <v>1</v>
      </c>
      <c r="P94" s="41" t="s">
        <v>1</v>
      </c>
      <c r="Q94" s="41" t="str">
        <f>VLOOKUP(Table1[[#This Row],[Eelarvekonto]],Table5[[Konto]:[Kontode alanimetus]],5,FALSE)</f>
        <v>Tööjõukulud</v>
      </c>
      <c r="R94" s="42" t="str">
        <f>VLOOKUP(Table1[[#This Row],[Tegevusala kood]],Table4[[Tegevusala kood]:[Tegevusala alanimetus]],4,FALSE)</f>
        <v>Alusharidus</v>
      </c>
      <c r="S94" s="53"/>
      <c r="T94" s="53"/>
      <c r="U94" s="53">
        <f>Table1[[#This Row],[Summa]]+Table1[[#This Row],[I Muudatus]]+Table1[[#This Row],[II Muudatus]]</f>
        <v>7848</v>
      </c>
    </row>
    <row r="95" spans="1:21" ht="14.25" hidden="1" customHeight="1" x14ac:dyDescent="0.25">
      <c r="A95" s="41" t="s">
        <v>1527</v>
      </c>
      <c r="B95" s="41">
        <v>7890</v>
      </c>
      <c r="C95" s="52">
        <v>5002</v>
      </c>
      <c r="D95" s="52" t="str">
        <f>LEFT(Table1[[#This Row],[Eelarvekonto]],2)</f>
        <v>50</v>
      </c>
      <c r="E95" s="41" t="str">
        <f>VLOOKUP(Table1[[#This Row],[Eelarvekonto]],Table5[[Konto]:[Konto nimetus]],2,FALSE)</f>
        <v>Töötajate töötasud</v>
      </c>
      <c r="F95" s="41" t="s">
        <v>139</v>
      </c>
      <c r="G95" s="41" t="s">
        <v>24</v>
      </c>
      <c r="J95" s="41" t="s">
        <v>290</v>
      </c>
      <c r="K95" s="41" t="s">
        <v>288</v>
      </c>
      <c r="L95" s="58" t="s">
        <v>289</v>
      </c>
      <c r="M95" s="58" t="str">
        <f>LEFT(Table1[[#This Row],[Tegevusala kood]],2)</f>
        <v>09</v>
      </c>
      <c r="N95" s="41" t="str">
        <f>VLOOKUP(Table1[[#This Row],[Tegevusala kood]],Table4[[Tegevusala kood]:[Tegevusala alanimetus]],2,FALSE)</f>
        <v>Laekvere Lasteaed</v>
      </c>
      <c r="O95" s="41" t="s">
        <v>1</v>
      </c>
      <c r="P95" s="41" t="s">
        <v>1</v>
      </c>
      <c r="Q95" s="41" t="str">
        <f>VLOOKUP(Table1[[#This Row],[Eelarvekonto]],Table5[[Konto]:[Kontode alanimetus]],5,FALSE)</f>
        <v>Tööjõukulud</v>
      </c>
      <c r="R95" s="42" t="str">
        <f>VLOOKUP(Table1[[#This Row],[Tegevusala kood]],Table4[[Tegevusala kood]:[Tegevusala alanimetus]],4,FALSE)</f>
        <v>Alusharidus</v>
      </c>
      <c r="S95" s="53"/>
      <c r="T95" s="53"/>
      <c r="U95" s="53">
        <f>Table1[[#This Row],[Summa]]+Table1[[#This Row],[I Muudatus]]+Table1[[#This Row],[II Muudatus]]</f>
        <v>7890</v>
      </c>
    </row>
    <row r="96" spans="1:21" ht="14.25" hidden="1" customHeight="1" x14ac:dyDescent="0.25">
      <c r="A96" s="41" t="s">
        <v>150</v>
      </c>
      <c r="B96" s="41">
        <v>1740</v>
      </c>
      <c r="C96" s="52">
        <v>551102</v>
      </c>
      <c r="D96" s="52" t="str">
        <f>LEFT(Table1[[#This Row],[Eelarvekonto]],2)</f>
        <v>55</v>
      </c>
      <c r="E96" s="41" t="str">
        <f>VLOOKUP(Table1[[#This Row],[Eelarvekonto]],Table5[[Konto]:[Konto nimetus]],2,FALSE)</f>
        <v>Vesi ja kanalisatsioon</v>
      </c>
      <c r="F96" s="41" t="s">
        <v>139</v>
      </c>
      <c r="G96" s="41" t="s">
        <v>24</v>
      </c>
      <c r="J96" s="41" t="s">
        <v>290</v>
      </c>
      <c r="K96" s="41" t="s">
        <v>288</v>
      </c>
      <c r="L96" s="58" t="s">
        <v>289</v>
      </c>
      <c r="M96" s="58" t="str">
        <f>LEFT(Table1[[#This Row],[Tegevusala kood]],2)</f>
        <v>09</v>
      </c>
      <c r="N96" s="41" t="str">
        <f>VLOOKUP(Table1[[#This Row],[Tegevusala kood]],Table4[[Tegevusala kood]:[Tegevusala alanimetus]],2,FALSE)</f>
        <v>Laekvere Lasteaed</v>
      </c>
      <c r="O96" s="41" t="s">
        <v>1</v>
      </c>
      <c r="P96" s="41" t="s">
        <v>1</v>
      </c>
      <c r="Q96" s="41" t="str">
        <f>VLOOKUP(Table1[[#This Row],[Eelarvekonto]],Table5[[Konto]:[Kontode alanimetus]],5,FALSE)</f>
        <v>Majandamiskulud</v>
      </c>
      <c r="R96" s="42" t="str">
        <f>VLOOKUP(Table1[[#This Row],[Tegevusala kood]],Table4[[Tegevusala kood]:[Tegevusala alanimetus]],4,FALSE)</f>
        <v>Alusharidus</v>
      </c>
      <c r="S96" s="53"/>
      <c r="T96" s="53"/>
      <c r="U96" s="53">
        <f>Table1[[#This Row],[Summa]]+Table1[[#This Row],[I Muudatus]]+Table1[[#This Row],[II Muudatus]]</f>
        <v>1740</v>
      </c>
    </row>
    <row r="97" spans="1:21" ht="14.25" hidden="1" customHeight="1" x14ac:dyDescent="0.25">
      <c r="A97" s="41" t="s">
        <v>480</v>
      </c>
      <c r="B97" s="41">
        <v>345.6</v>
      </c>
      <c r="C97" s="52">
        <v>5511</v>
      </c>
      <c r="D97" s="52" t="str">
        <f>LEFT(Table1[[#This Row],[Eelarvekonto]],2)</f>
        <v>55</v>
      </c>
      <c r="E97" s="41" t="str">
        <f>VLOOKUP(Table1[[#This Row],[Eelarvekonto]],Table5[[Konto]:[Konto nimetus]],2,FALSE)</f>
        <v>Kinnistute, hoonete ja ruumide majandamiskulud</v>
      </c>
      <c r="F97" s="41" t="s">
        <v>139</v>
      </c>
      <c r="G97" s="41" t="s">
        <v>24</v>
      </c>
      <c r="J97" s="41" t="s">
        <v>290</v>
      </c>
      <c r="K97" s="41" t="s">
        <v>288</v>
      </c>
      <c r="L97" s="58" t="s">
        <v>289</v>
      </c>
      <c r="M97" s="58" t="str">
        <f>LEFT(Table1[[#This Row],[Tegevusala kood]],2)</f>
        <v>09</v>
      </c>
      <c r="N97" s="41" t="str">
        <f>VLOOKUP(Table1[[#This Row],[Tegevusala kood]],Table4[[Tegevusala kood]:[Tegevusala alanimetus]],2,FALSE)</f>
        <v>Laekvere Lasteaed</v>
      </c>
      <c r="O97" s="41" t="s">
        <v>1</v>
      </c>
      <c r="P97" s="41" t="s">
        <v>1</v>
      </c>
      <c r="Q97" s="41" t="str">
        <f>VLOOKUP(Table1[[#This Row],[Eelarvekonto]],Table5[[Konto]:[Kontode alanimetus]],5,FALSE)</f>
        <v>Majandamiskulud</v>
      </c>
      <c r="R97" s="42" t="str">
        <f>VLOOKUP(Table1[[#This Row],[Tegevusala kood]],Table4[[Tegevusala kood]:[Tegevusala alanimetus]],4,FALSE)</f>
        <v>Alusharidus</v>
      </c>
      <c r="S97" s="53"/>
      <c r="T97" s="53"/>
      <c r="U97" s="53">
        <f>Table1[[#This Row],[Summa]]+Table1[[#This Row],[I Muudatus]]+Table1[[#This Row],[II Muudatus]]</f>
        <v>345.6</v>
      </c>
    </row>
    <row r="98" spans="1:21" ht="14.25" hidden="1" customHeight="1" x14ac:dyDescent="0.25">
      <c r="A98" s="41" t="s">
        <v>148</v>
      </c>
      <c r="B98" s="41">
        <v>14520</v>
      </c>
      <c r="C98" s="52">
        <v>551100</v>
      </c>
      <c r="D98" s="52" t="str">
        <f>LEFT(Table1[[#This Row],[Eelarvekonto]],2)</f>
        <v>55</v>
      </c>
      <c r="E98" s="41" t="str">
        <f>VLOOKUP(Table1[[#This Row],[Eelarvekonto]],Table5[[Konto]:[Konto nimetus]],2,FALSE)</f>
        <v>Küte ja soojusenergia</v>
      </c>
      <c r="F98" s="41" t="s">
        <v>139</v>
      </c>
      <c r="G98" s="41" t="s">
        <v>24</v>
      </c>
      <c r="J98" s="41" t="s">
        <v>290</v>
      </c>
      <c r="K98" s="41" t="s">
        <v>288</v>
      </c>
      <c r="L98" s="58" t="s">
        <v>289</v>
      </c>
      <c r="M98" s="58" t="str">
        <f>LEFT(Table1[[#This Row],[Tegevusala kood]],2)</f>
        <v>09</v>
      </c>
      <c r="N98" s="41" t="str">
        <f>VLOOKUP(Table1[[#This Row],[Tegevusala kood]],Table4[[Tegevusala kood]:[Tegevusala alanimetus]],2,FALSE)</f>
        <v>Laekvere Lasteaed</v>
      </c>
      <c r="O98" s="41" t="s">
        <v>1</v>
      </c>
      <c r="P98" s="41" t="s">
        <v>1</v>
      </c>
      <c r="Q98" s="41" t="str">
        <f>VLOOKUP(Table1[[#This Row],[Eelarvekonto]],Table5[[Konto]:[Kontode alanimetus]],5,FALSE)</f>
        <v>Majandamiskulud</v>
      </c>
      <c r="R98" s="42" t="str">
        <f>VLOOKUP(Table1[[#This Row],[Tegevusala kood]],Table4[[Tegevusala kood]:[Tegevusala alanimetus]],4,FALSE)</f>
        <v>Alusharidus</v>
      </c>
      <c r="S98" s="53"/>
      <c r="T98" s="53"/>
      <c r="U98" s="53">
        <f>Table1[[#This Row],[Summa]]+Table1[[#This Row],[I Muudatus]]+Table1[[#This Row],[II Muudatus]]</f>
        <v>14520</v>
      </c>
    </row>
    <row r="99" spans="1:21" ht="14.25" hidden="1" customHeight="1" x14ac:dyDescent="0.25">
      <c r="A99" s="41" t="s">
        <v>149</v>
      </c>
      <c r="B99" s="41">
        <v>4200</v>
      </c>
      <c r="C99" s="52">
        <v>551101</v>
      </c>
      <c r="D99" s="52" t="str">
        <f>LEFT(Table1[[#This Row],[Eelarvekonto]],2)</f>
        <v>55</v>
      </c>
      <c r="E99" s="41" t="str">
        <f>VLOOKUP(Table1[[#This Row],[Eelarvekonto]],Table5[[Konto]:[Konto nimetus]],2,FALSE)</f>
        <v>Elekter</v>
      </c>
      <c r="F99" s="41" t="s">
        <v>139</v>
      </c>
      <c r="G99" s="41" t="s">
        <v>24</v>
      </c>
      <c r="J99" s="41" t="s">
        <v>290</v>
      </c>
      <c r="K99" s="41" t="s">
        <v>288</v>
      </c>
      <c r="L99" s="58" t="s">
        <v>289</v>
      </c>
      <c r="M99" s="58" t="str">
        <f>LEFT(Table1[[#This Row],[Tegevusala kood]],2)</f>
        <v>09</v>
      </c>
      <c r="N99" s="41" t="str">
        <f>VLOOKUP(Table1[[#This Row],[Tegevusala kood]],Table4[[Tegevusala kood]:[Tegevusala alanimetus]],2,FALSE)</f>
        <v>Laekvere Lasteaed</v>
      </c>
      <c r="O99" s="41" t="s">
        <v>1</v>
      </c>
      <c r="P99" s="41" t="s">
        <v>1</v>
      </c>
      <c r="Q99" s="41" t="str">
        <f>VLOOKUP(Table1[[#This Row],[Eelarvekonto]],Table5[[Konto]:[Kontode alanimetus]],5,FALSE)</f>
        <v>Majandamiskulud</v>
      </c>
      <c r="R99" s="42" t="str">
        <f>VLOOKUP(Table1[[#This Row],[Tegevusala kood]],Table4[[Tegevusala kood]:[Tegevusala alanimetus]],4,FALSE)</f>
        <v>Alusharidus</v>
      </c>
      <c r="S99" s="53"/>
      <c r="T99" s="53"/>
      <c r="U99" s="53">
        <f>Table1[[#This Row],[Summa]]+Table1[[#This Row],[I Muudatus]]+Table1[[#This Row],[II Muudatus]]</f>
        <v>4200</v>
      </c>
    </row>
    <row r="100" spans="1:21" ht="14.25" hidden="1" customHeight="1" x14ac:dyDescent="0.25">
      <c r="A100" s="41" t="s">
        <v>307</v>
      </c>
      <c r="B100" s="41">
        <v>377.88</v>
      </c>
      <c r="C100" s="52">
        <v>5514</v>
      </c>
      <c r="D100" s="68" t="str">
        <f>LEFT(Table1[[#This Row],[Eelarvekonto]],2)</f>
        <v>55</v>
      </c>
      <c r="E100" s="41" t="str">
        <f>VLOOKUP(Table1[[#This Row],[Eelarvekonto]],Table5[[Konto]:[Konto nimetus]],2,FALSE)</f>
        <v>Info- ja kommunikatsioonitehnoloogia kulud</v>
      </c>
      <c r="F100" s="41" t="s">
        <v>139</v>
      </c>
      <c r="G100" s="41" t="s">
        <v>24</v>
      </c>
      <c r="J100" s="41" t="s">
        <v>290</v>
      </c>
      <c r="K100" s="41" t="s">
        <v>288</v>
      </c>
      <c r="L100" s="58" t="s">
        <v>289</v>
      </c>
      <c r="M100" s="58" t="str">
        <f>LEFT(Table1[[#This Row],[Tegevusala kood]],2)</f>
        <v>09</v>
      </c>
      <c r="N100" s="41" t="str">
        <f>VLOOKUP(Table1[[#This Row],[Tegevusala kood]],Table4[[Tegevusala kood]:[Tegevusala alanimetus]],2,FALSE)</f>
        <v>Laekvere Lasteaed</v>
      </c>
      <c r="O100" s="41" t="s">
        <v>1</v>
      </c>
      <c r="P100" s="41" t="s">
        <v>1</v>
      </c>
      <c r="Q100" s="41" t="str">
        <f>VLOOKUP(Table1[[#This Row],[Eelarvekonto]],Table5[[Konto]:[Kontode alanimetus]],5,FALSE)</f>
        <v>Majandamiskulud</v>
      </c>
      <c r="R100" s="42" t="str">
        <f>VLOOKUP(Table1[[#This Row],[Tegevusala kood]],Table4[[Tegevusala kood]:[Tegevusala alanimetus]],4,FALSE)</f>
        <v>Alusharidus</v>
      </c>
      <c r="S100" s="53"/>
      <c r="T100" s="53"/>
      <c r="U100" s="53">
        <f>Table1[[#This Row],[Summa]]+Table1[[#This Row],[I Muudatus]]+Table1[[#This Row],[II Muudatus]]</f>
        <v>377.88</v>
      </c>
    </row>
    <row r="101" spans="1:21" ht="14.25" hidden="1" customHeight="1" x14ac:dyDescent="0.25">
      <c r="A101" s="41" t="s">
        <v>1016</v>
      </c>
      <c r="B101" s="41">
        <v>221.64</v>
      </c>
      <c r="C101" s="52">
        <v>5511</v>
      </c>
      <c r="D101" s="41" t="str">
        <f>LEFT(Table1[[#This Row],[Eelarvekonto]],2)</f>
        <v>55</v>
      </c>
      <c r="E101" s="41" t="str">
        <f>VLOOKUP(Table1[[#This Row],[Eelarvekonto]],Table5[[Konto]:[Konto nimetus]],2,FALSE)</f>
        <v>Kinnistute, hoonete ja ruumide majandamiskulud</v>
      </c>
      <c r="F101" s="41" t="s">
        <v>139</v>
      </c>
      <c r="G101" s="41" t="s">
        <v>24</v>
      </c>
      <c r="J101" s="41" t="s">
        <v>290</v>
      </c>
      <c r="K101" s="41" t="s">
        <v>288</v>
      </c>
      <c r="L101" s="58" t="s">
        <v>289</v>
      </c>
      <c r="M101" s="58" t="str">
        <f>LEFT(Table1[[#This Row],[Tegevusala kood]],2)</f>
        <v>09</v>
      </c>
      <c r="N101" s="41" t="str">
        <f>VLOOKUP(Table1[[#This Row],[Tegevusala kood]],Table4[[Tegevusala kood]:[Tegevusala alanimetus]],2,FALSE)</f>
        <v>Laekvere Lasteaed</v>
      </c>
      <c r="O101" s="41" t="s">
        <v>1</v>
      </c>
      <c r="P101" s="41" t="s">
        <v>1</v>
      </c>
      <c r="Q101" s="41" t="str">
        <f>VLOOKUP(Table1[[#This Row],[Eelarvekonto]],Table5[[Konto]:[Kontode alanimetus]],5,FALSE)</f>
        <v>Majandamiskulud</v>
      </c>
      <c r="R101" s="42" t="str">
        <f>VLOOKUP(Table1[[#This Row],[Tegevusala kood]],Table4[[Tegevusala kood]:[Tegevusala alanimetus]],4,FALSE)</f>
        <v>Alusharidus</v>
      </c>
      <c r="S101" s="53"/>
      <c r="T101" s="53"/>
      <c r="U101" s="53">
        <f>Table1[[#This Row],[Summa]]+Table1[[#This Row],[I Muudatus]]+Table1[[#This Row],[II Muudatus]]</f>
        <v>221.64</v>
      </c>
    </row>
    <row r="102" spans="1:21" ht="14.25" hidden="1" customHeight="1" x14ac:dyDescent="0.25">
      <c r="A102" s="41" t="s">
        <v>171</v>
      </c>
      <c r="B102" s="41">
        <v>324</v>
      </c>
      <c r="C102" s="52">
        <v>5511</v>
      </c>
      <c r="D102" s="41" t="str">
        <f>LEFT(Table1[[#This Row],[Eelarvekonto]],2)</f>
        <v>55</v>
      </c>
      <c r="E102" s="41" t="str">
        <f>VLOOKUP(Table1[[#This Row],[Eelarvekonto]],Table5[[Konto]:[Konto nimetus]],2,FALSE)</f>
        <v>Kinnistute, hoonete ja ruumide majandamiskulud</v>
      </c>
      <c r="F102" s="41" t="s">
        <v>139</v>
      </c>
      <c r="G102" s="41" t="s">
        <v>24</v>
      </c>
      <c r="J102" s="41" t="s">
        <v>290</v>
      </c>
      <c r="K102" s="41" t="s">
        <v>288</v>
      </c>
      <c r="L102" s="58" t="s">
        <v>289</v>
      </c>
      <c r="M102" s="58" t="str">
        <f>LEFT(Table1[[#This Row],[Tegevusala kood]],2)</f>
        <v>09</v>
      </c>
      <c r="N102" s="41" t="str">
        <f>VLOOKUP(Table1[[#This Row],[Tegevusala kood]],Table4[[Tegevusala kood]:[Tegevusala alanimetus]],2,FALSE)</f>
        <v>Laekvere Lasteaed</v>
      </c>
      <c r="O102" s="41" t="s">
        <v>1</v>
      </c>
      <c r="P102" s="41" t="s">
        <v>1</v>
      </c>
      <c r="Q102" s="41" t="str">
        <f>VLOOKUP(Table1[[#This Row],[Eelarvekonto]],Table5[[Konto]:[Kontode alanimetus]],5,FALSE)</f>
        <v>Majandamiskulud</v>
      </c>
      <c r="R102" s="42" t="str">
        <f>VLOOKUP(Table1[[#This Row],[Tegevusala kood]],Table4[[Tegevusala kood]:[Tegevusala alanimetus]],4,FALSE)</f>
        <v>Alusharidus</v>
      </c>
      <c r="S102" s="53"/>
      <c r="T102" s="53"/>
      <c r="U102" s="53">
        <f>Table1[[#This Row],[Summa]]+Table1[[#This Row],[I Muudatus]]+Table1[[#This Row],[II Muudatus]]</f>
        <v>324</v>
      </c>
    </row>
    <row r="103" spans="1:21" ht="14.25" hidden="1" customHeight="1" x14ac:dyDescent="0.25">
      <c r="A103" s="41" t="s">
        <v>172</v>
      </c>
      <c r="B103" s="41">
        <v>105.04</v>
      </c>
      <c r="C103" s="52">
        <v>5511</v>
      </c>
      <c r="D103" s="41" t="str">
        <f>LEFT(Table1[[#This Row],[Eelarvekonto]],2)</f>
        <v>55</v>
      </c>
      <c r="E103" s="41" t="str">
        <f>VLOOKUP(Table1[[#This Row],[Eelarvekonto]],Table5[[Konto]:[Konto nimetus]],2,FALSE)</f>
        <v>Kinnistute, hoonete ja ruumide majandamiskulud</v>
      </c>
      <c r="F103" s="41" t="s">
        <v>139</v>
      </c>
      <c r="G103" s="41" t="s">
        <v>24</v>
      </c>
      <c r="J103" s="41" t="s">
        <v>290</v>
      </c>
      <c r="K103" s="41" t="s">
        <v>288</v>
      </c>
      <c r="L103" s="58" t="s">
        <v>289</v>
      </c>
      <c r="M103" s="58" t="str">
        <f>LEFT(Table1[[#This Row],[Tegevusala kood]],2)</f>
        <v>09</v>
      </c>
      <c r="N103" s="41" t="str">
        <f>VLOOKUP(Table1[[#This Row],[Tegevusala kood]],Table4[[Tegevusala kood]:[Tegevusala alanimetus]],2,FALSE)</f>
        <v>Laekvere Lasteaed</v>
      </c>
      <c r="O103" s="41" t="s">
        <v>1</v>
      </c>
      <c r="P103" s="41" t="s">
        <v>1</v>
      </c>
      <c r="Q103" s="41" t="str">
        <f>VLOOKUP(Table1[[#This Row],[Eelarvekonto]],Table5[[Konto]:[Kontode alanimetus]],5,FALSE)</f>
        <v>Majandamiskulud</v>
      </c>
      <c r="R103" s="42" t="str">
        <f>VLOOKUP(Table1[[#This Row],[Tegevusala kood]],Table4[[Tegevusala kood]:[Tegevusala alanimetus]],4,FALSE)</f>
        <v>Alusharidus</v>
      </c>
      <c r="S103" s="53"/>
      <c r="T103" s="53"/>
      <c r="U103" s="53">
        <f>Table1[[#This Row],[Summa]]+Table1[[#This Row],[I Muudatus]]+Table1[[#This Row],[II Muudatus]]</f>
        <v>105.04</v>
      </c>
    </row>
    <row r="104" spans="1:21" ht="14.25" hidden="1" customHeight="1" x14ac:dyDescent="0.25">
      <c r="A104" s="41" t="s">
        <v>331</v>
      </c>
      <c r="B104" s="41">
        <v>500</v>
      </c>
      <c r="C104" s="52">
        <v>5511</v>
      </c>
      <c r="D104" s="41" t="str">
        <f>LEFT(Table1[[#This Row],[Eelarvekonto]],2)</f>
        <v>55</v>
      </c>
      <c r="E104" s="41" t="str">
        <f>VLOOKUP(Table1[[#This Row],[Eelarvekonto]],Table5[[Konto]:[Konto nimetus]],2,FALSE)</f>
        <v>Kinnistute, hoonete ja ruumide majandamiskulud</v>
      </c>
      <c r="F104" s="41" t="s">
        <v>139</v>
      </c>
      <c r="G104" s="41" t="s">
        <v>24</v>
      </c>
      <c r="J104" s="41" t="s">
        <v>320</v>
      </c>
      <c r="K104" s="41" t="s">
        <v>80</v>
      </c>
      <c r="L104" s="58" t="s">
        <v>329</v>
      </c>
      <c r="M104" s="58" t="str">
        <f>LEFT(Table1[[#This Row],[Tegevusala kood]],2)</f>
        <v>06</v>
      </c>
      <c r="N104" s="41" t="str">
        <f>VLOOKUP(Table1[[#This Row],[Tegevusala kood]],Table4[[Tegevusala kood]:[Tegevusala alanimetus]],2,FALSE)</f>
        <v>Kalmistud</v>
      </c>
      <c r="O104" s="41" t="s">
        <v>1</v>
      </c>
      <c r="P104" s="41" t="s">
        <v>1</v>
      </c>
      <c r="Q104" s="41" t="str">
        <f>VLOOKUP(Table1[[#This Row],[Eelarvekonto]],Table5[[Konto]:[Kontode alanimetus]],5,FALSE)</f>
        <v>Majandamiskulud</v>
      </c>
      <c r="R104" s="42" t="str">
        <f>VLOOKUP(Table1[[#This Row],[Tegevusala kood]],Table4[[Tegevusala kood]:[Tegevusala alanimetus]],4,FALSE)</f>
        <v>Muu elamu- ja kommunaalmajanduse tegevus</v>
      </c>
      <c r="S104" s="53"/>
      <c r="T104" s="53"/>
      <c r="U104" s="53">
        <f>Table1[[#This Row],[Summa]]+Table1[[#This Row],[I Muudatus]]+Table1[[#This Row],[II Muudatus]]</f>
        <v>500</v>
      </c>
    </row>
    <row r="105" spans="1:21" ht="14.25" hidden="1" customHeight="1" x14ac:dyDescent="0.25">
      <c r="A105" s="41" t="s">
        <v>158</v>
      </c>
      <c r="B105" s="41">
        <v>3423.26</v>
      </c>
      <c r="C105" s="52">
        <v>506</v>
      </c>
      <c r="D105" s="41" t="str">
        <f>LEFT(Table1[[#This Row],[Eelarvekonto]],2)</f>
        <v>50</v>
      </c>
      <c r="E105" s="41" t="str">
        <f>VLOOKUP(Table1[[#This Row],[Eelarvekonto]],Table5[[Konto]:[Konto nimetus]],2,FALSE)</f>
        <v>Tööjõukuludega kaasnevad maksud ja sotsiaalkindlustusmaksed</v>
      </c>
      <c r="F105" s="41" t="s">
        <v>139</v>
      </c>
      <c r="G105" s="41" t="s">
        <v>24</v>
      </c>
      <c r="J105" s="41" t="s">
        <v>320</v>
      </c>
      <c r="K105" s="41" t="s">
        <v>80</v>
      </c>
      <c r="L105" s="58" t="s">
        <v>329</v>
      </c>
      <c r="M105" s="58" t="str">
        <f>LEFT(Table1[[#This Row],[Tegevusala kood]],2)</f>
        <v>06</v>
      </c>
      <c r="N105" s="41" t="str">
        <f>VLOOKUP(Table1[[#This Row],[Tegevusala kood]],Table4[[Tegevusala kood]:[Tegevusala alanimetus]],2,FALSE)</f>
        <v>Kalmistud</v>
      </c>
      <c r="O105" s="41" t="s">
        <v>1</v>
      </c>
      <c r="P105" s="41" t="s">
        <v>1</v>
      </c>
      <c r="Q105" s="41" t="str">
        <f>VLOOKUP(Table1[[#This Row],[Eelarvekonto]],Table5[[Konto]:[Kontode alanimetus]],5,FALSE)</f>
        <v>Tööjõukulud</v>
      </c>
      <c r="R105" s="42" t="str">
        <f>VLOOKUP(Table1[[#This Row],[Tegevusala kood]],Table4[[Tegevusala kood]:[Tegevusala alanimetus]],4,FALSE)</f>
        <v>Muu elamu- ja kommunaalmajanduse tegevus</v>
      </c>
      <c r="S105" s="53"/>
      <c r="T105" s="53"/>
      <c r="U105" s="53">
        <f>Table1[[#This Row],[Summa]]+Table1[[#This Row],[I Muudatus]]+Table1[[#This Row],[II Muudatus]]</f>
        <v>3423.26</v>
      </c>
    </row>
    <row r="106" spans="1:21" ht="14.25" hidden="1" customHeight="1" x14ac:dyDescent="0.25">
      <c r="A106" s="41" t="s">
        <v>597</v>
      </c>
      <c r="B106" s="41">
        <v>2556.48</v>
      </c>
      <c r="C106" s="52">
        <v>5511</v>
      </c>
      <c r="D106" s="52" t="str">
        <f>LEFT(Table1[[#This Row],[Eelarvekonto]],2)</f>
        <v>55</v>
      </c>
      <c r="E106" s="41" t="str">
        <f>VLOOKUP(Table1[[#This Row],[Eelarvekonto]],Table5[[Konto]:[Konto nimetus]],2,FALSE)</f>
        <v>Kinnistute, hoonete ja ruumide majandamiskulud</v>
      </c>
      <c r="F106" s="41" t="s">
        <v>139</v>
      </c>
      <c r="G106" s="41" t="s">
        <v>24</v>
      </c>
      <c r="J106" s="41" t="s">
        <v>320</v>
      </c>
      <c r="K106" s="41" t="s">
        <v>80</v>
      </c>
      <c r="L106" s="58" t="s">
        <v>329</v>
      </c>
      <c r="M106" s="58" t="str">
        <f>LEFT(Table1[[#This Row],[Tegevusala kood]],2)</f>
        <v>06</v>
      </c>
      <c r="N106" s="41" t="str">
        <f>VLOOKUP(Table1[[#This Row],[Tegevusala kood]],Table4[[Tegevusala kood]:[Tegevusala alanimetus]],2,FALSE)</f>
        <v>Kalmistud</v>
      </c>
      <c r="O106" s="41" t="s">
        <v>1</v>
      </c>
      <c r="P106" s="41" t="s">
        <v>1</v>
      </c>
      <c r="Q106" s="41" t="str">
        <f>VLOOKUP(Table1[[#This Row],[Eelarvekonto]],Table5[[Konto]:[Kontode alanimetus]],5,FALSE)</f>
        <v>Majandamiskulud</v>
      </c>
      <c r="R106" s="42" t="str">
        <f>VLOOKUP(Table1[[#This Row],[Tegevusala kood]],Table4[[Tegevusala kood]:[Tegevusala alanimetus]],4,FALSE)</f>
        <v>Muu elamu- ja kommunaalmajanduse tegevus</v>
      </c>
      <c r="S106" s="53"/>
      <c r="T106" s="53"/>
      <c r="U106" s="53">
        <f>Table1[[#This Row],[Summa]]+Table1[[#This Row],[I Muudatus]]+Table1[[#This Row],[II Muudatus]]</f>
        <v>2556.48</v>
      </c>
    </row>
    <row r="107" spans="1:21" ht="14.25" hidden="1" customHeight="1" x14ac:dyDescent="0.25">
      <c r="A107" s="41" t="s">
        <v>596</v>
      </c>
      <c r="B107" s="41">
        <v>650</v>
      </c>
      <c r="C107" s="52">
        <v>5511</v>
      </c>
      <c r="D107" s="52" t="str">
        <f>LEFT(Table1[[#This Row],[Eelarvekonto]],2)</f>
        <v>55</v>
      </c>
      <c r="E107" s="41" t="str">
        <f>VLOOKUP(Table1[[#This Row],[Eelarvekonto]],Table5[[Konto]:[Konto nimetus]],2,FALSE)</f>
        <v>Kinnistute, hoonete ja ruumide majandamiskulud</v>
      </c>
      <c r="F107" s="41" t="s">
        <v>139</v>
      </c>
      <c r="G107" s="41" t="s">
        <v>24</v>
      </c>
      <c r="J107" s="41" t="s">
        <v>320</v>
      </c>
      <c r="K107" s="41" t="s">
        <v>80</v>
      </c>
      <c r="L107" s="58" t="s">
        <v>329</v>
      </c>
      <c r="M107" s="58" t="str">
        <f>LEFT(Table1[[#This Row],[Tegevusala kood]],2)</f>
        <v>06</v>
      </c>
      <c r="N107" s="41" t="str">
        <f>VLOOKUP(Table1[[#This Row],[Tegevusala kood]],Table4[[Tegevusala kood]:[Tegevusala alanimetus]],2,FALSE)</f>
        <v>Kalmistud</v>
      </c>
      <c r="O107" s="41" t="s">
        <v>1</v>
      </c>
      <c r="P107" s="41" t="s">
        <v>1</v>
      </c>
      <c r="Q107" s="41" t="str">
        <f>VLOOKUP(Table1[[#This Row],[Eelarvekonto]],Table5[[Konto]:[Kontode alanimetus]],5,FALSE)</f>
        <v>Majandamiskulud</v>
      </c>
      <c r="R107" s="42" t="str">
        <f>VLOOKUP(Table1[[#This Row],[Tegevusala kood]],Table4[[Tegevusala kood]:[Tegevusala alanimetus]],4,FALSE)</f>
        <v>Muu elamu- ja kommunaalmajanduse tegevus</v>
      </c>
      <c r="S107" s="53"/>
      <c r="T107" s="53"/>
      <c r="U107" s="53">
        <f>Table1[[#This Row],[Summa]]+Table1[[#This Row],[I Muudatus]]+Table1[[#This Row],[II Muudatus]]</f>
        <v>650</v>
      </c>
    </row>
    <row r="108" spans="1:21" ht="14.25" hidden="1" customHeight="1" x14ac:dyDescent="0.25">
      <c r="A108" s="41" t="s">
        <v>171</v>
      </c>
      <c r="B108" s="41">
        <v>102</v>
      </c>
      <c r="C108" s="52">
        <v>5511</v>
      </c>
      <c r="D108" s="52" t="str">
        <f>LEFT(Table1[[#This Row],[Eelarvekonto]],2)</f>
        <v>55</v>
      </c>
      <c r="E108" s="41" t="str">
        <f>VLOOKUP(Table1[[#This Row],[Eelarvekonto]],Table5[[Konto]:[Konto nimetus]],2,FALSE)</f>
        <v>Kinnistute, hoonete ja ruumide majandamiskulud</v>
      </c>
      <c r="F108" s="41" t="s">
        <v>139</v>
      </c>
      <c r="G108" s="41" t="s">
        <v>24</v>
      </c>
      <c r="J108" s="41" t="s">
        <v>320</v>
      </c>
      <c r="K108" s="41" t="s">
        <v>80</v>
      </c>
      <c r="L108" s="58" t="s">
        <v>329</v>
      </c>
      <c r="M108" s="58" t="str">
        <f>LEFT(Table1[[#This Row],[Tegevusala kood]],2)</f>
        <v>06</v>
      </c>
      <c r="N108" s="41" t="str">
        <f>VLOOKUP(Table1[[#This Row],[Tegevusala kood]],Table4[[Tegevusala kood]:[Tegevusala alanimetus]],2,FALSE)</f>
        <v>Kalmistud</v>
      </c>
      <c r="O108" s="41" t="s">
        <v>1</v>
      </c>
      <c r="P108" s="41" t="s">
        <v>1</v>
      </c>
      <c r="Q108" s="41" t="str">
        <f>VLOOKUP(Table1[[#This Row],[Eelarvekonto]],Table5[[Konto]:[Kontode alanimetus]],5,FALSE)</f>
        <v>Majandamiskulud</v>
      </c>
      <c r="R108" s="42" t="str">
        <f>VLOOKUP(Table1[[#This Row],[Tegevusala kood]],Table4[[Tegevusala kood]:[Tegevusala alanimetus]],4,FALSE)</f>
        <v>Muu elamu- ja kommunaalmajanduse tegevus</v>
      </c>
      <c r="S108" s="53"/>
      <c r="T108" s="53"/>
      <c r="U108" s="53">
        <f>Table1[[#This Row],[Summa]]+Table1[[#This Row],[I Muudatus]]+Table1[[#This Row],[II Muudatus]]</f>
        <v>102</v>
      </c>
    </row>
    <row r="109" spans="1:21" ht="14.25" hidden="1" customHeight="1" x14ac:dyDescent="0.25">
      <c r="A109" s="41" t="s">
        <v>503</v>
      </c>
      <c r="B109" s="41">
        <v>420</v>
      </c>
      <c r="C109" s="52">
        <v>5511</v>
      </c>
      <c r="D109" s="52" t="str">
        <f>LEFT(Table1[[#This Row],[Eelarvekonto]],2)</f>
        <v>55</v>
      </c>
      <c r="E109" s="41" t="str">
        <f>VLOOKUP(Table1[[#This Row],[Eelarvekonto]],Table5[[Konto]:[Konto nimetus]],2,FALSE)</f>
        <v>Kinnistute, hoonete ja ruumide majandamiskulud</v>
      </c>
      <c r="F109" s="41" t="s">
        <v>139</v>
      </c>
      <c r="G109" s="41" t="s">
        <v>24</v>
      </c>
      <c r="J109" s="41" t="s">
        <v>320</v>
      </c>
      <c r="K109" s="41" t="s">
        <v>80</v>
      </c>
      <c r="L109" s="58" t="s">
        <v>329</v>
      </c>
      <c r="M109" s="58" t="str">
        <f>LEFT(Table1[[#This Row],[Tegevusala kood]],2)</f>
        <v>06</v>
      </c>
      <c r="N109" s="41" t="str">
        <f>VLOOKUP(Table1[[#This Row],[Tegevusala kood]],Table4[[Tegevusala kood]:[Tegevusala alanimetus]],2,FALSE)</f>
        <v>Kalmistud</v>
      </c>
      <c r="O109" s="41" t="s">
        <v>1</v>
      </c>
      <c r="P109" s="41" t="s">
        <v>1</v>
      </c>
      <c r="Q109" s="41" t="str">
        <f>VLOOKUP(Table1[[#This Row],[Eelarvekonto]],Table5[[Konto]:[Kontode alanimetus]],5,FALSE)</f>
        <v>Majandamiskulud</v>
      </c>
      <c r="R109" s="42" t="str">
        <f>VLOOKUP(Table1[[#This Row],[Tegevusala kood]],Table4[[Tegevusala kood]:[Tegevusala alanimetus]],4,FALSE)</f>
        <v>Muu elamu- ja kommunaalmajanduse tegevus</v>
      </c>
      <c r="S109" s="53"/>
      <c r="T109" s="53"/>
      <c r="U109" s="53">
        <f>Table1[[#This Row],[Summa]]+Table1[[#This Row],[I Muudatus]]+Table1[[#This Row],[II Muudatus]]</f>
        <v>420</v>
      </c>
    </row>
    <row r="110" spans="1:21" ht="14.25" hidden="1" customHeight="1" x14ac:dyDescent="0.25">
      <c r="A110" s="41" t="s">
        <v>484</v>
      </c>
      <c r="B110" s="41">
        <v>2340</v>
      </c>
      <c r="C110" s="52">
        <v>5511</v>
      </c>
      <c r="D110" s="52" t="str">
        <f>LEFT(Table1[[#This Row],[Eelarvekonto]],2)</f>
        <v>55</v>
      </c>
      <c r="E110" s="41" t="str">
        <f>VLOOKUP(Table1[[#This Row],[Eelarvekonto]],Table5[[Konto]:[Konto nimetus]],2,FALSE)</f>
        <v>Kinnistute, hoonete ja ruumide majandamiskulud</v>
      </c>
      <c r="F110" s="41" t="s">
        <v>139</v>
      </c>
      <c r="G110" s="41" t="s">
        <v>24</v>
      </c>
      <c r="J110" s="41" t="s">
        <v>320</v>
      </c>
      <c r="K110" s="41" t="s">
        <v>80</v>
      </c>
      <c r="L110" s="58" t="s">
        <v>329</v>
      </c>
      <c r="M110" s="58" t="str">
        <f>LEFT(Table1[[#This Row],[Tegevusala kood]],2)</f>
        <v>06</v>
      </c>
      <c r="N110" s="41" t="str">
        <f>VLOOKUP(Table1[[#This Row],[Tegevusala kood]],Table4[[Tegevusala kood]:[Tegevusala alanimetus]],2,FALSE)</f>
        <v>Kalmistud</v>
      </c>
      <c r="O110" s="41" t="s">
        <v>1</v>
      </c>
      <c r="P110" s="41" t="s">
        <v>1</v>
      </c>
      <c r="Q110" s="41" t="str">
        <f>VLOOKUP(Table1[[#This Row],[Eelarvekonto]],Table5[[Konto]:[Kontode alanimetus]],5,FALSE)</f>
        <v>Majandamiskulud</v>
      </c>
      <c r="R110" s="42" t="str">
        <f>VLOOKUP(Table1[[#This Row],[Tegevusala kood]],Table4[[Tegevusala kood]:[Tegevusala alanimetus]],4,FALSE)</f>
        <v>Muu elamu- ja kommunaalmajanduse tegevus</v>
      </c>
      <c r="S110" s="53"/>
      <c r="T110" s="53"/>
      <c r="U110" s="53">
        <f>Table1[[#This Row],[Summa]]+Table1[[#This Row],[I Muudatus]]+Table1[[#This Row],[II Muudatus]]</f>
        <v>2340</v>
      </c>
    </row>
    <row r="111" spans="1:21" ht="14.25" hidden="1" customHeight="1" x14ac:dyDescent="0.25">
      <c r="A111" s="41" t="s">
        <v>149</v>
      </c>
      <c r="B111" s="41">
        <v>100</v>
      </c>
      <c r="C111" s="52">
        <v>551101</v>
      </c>
      <c r="D111" s="52" t="str">
        <f>LEFT(Table1[[#This Row],[Eelarvekonto]],2)</f>
        <v>55</v>
      </c>
      <c r="E111" s="41" t="str">
        <f>VLOOKUP(Table1[[#This Row],[Eelarvekonto]],Table5[[Konto]:[Konto nimetus]],2,FALSE)</f>
        <v>Elekter</v>
      </c>
      <c r="F111" s="41" t="s">
        <v>139</v>
      </c>
      <c r="G111" s="41" t="s">
        <v>24</v>
      </c>
      <c r="J111" s="41" t="s">
        <v>320</v>
      </c>
      <c r="K111" s="41" t="s">
        <v>80</v>
      </c>
      <c r="L111" s="58" t="s">
        <v>329</v>
      </c>
      <c r="M111" s="58" t="str">
        <f>LEFT(Table1[[#This Row],[Tegevusala kood]],2)</f>
        <v>06</v>
      </c>
      <c r="N111" s="41" t="str">
        <f>VLOOKUP(Table1[[#This Row],[Tegevusala kood]],Table4[[Tegevusala kood]:[Tegevusala alanimetus]],2,FALSE)</f>
        <v>Kalmistud</v>
      </c>
      <c r="O111" s="41" t="s">
        <v>1</v>
      </c>
      <c r="P111" s="41" t="s">
        <v>1</v>
      </c>
      <c r="Q111" s="41" t="str">
        <f>VLOOKUP(Table1[[#This Row],[Eelarvekonto]],Table5[[Konto]:[Kontode alanimetus]],5,FALSE)</f>
        <v>Majandamiskulud</v>
      </c>
      <c r="R111" s="42" t="str">
        <f>VLOOKUP(Table1[[#This Row],[Tegevusala kood]],Table4[[Tegevusala kood]:[Tegevusala alanimetus]],4,FALSE)</f>
        <v>Muu elamu- ja kommunaalmajanduse tegevus</v>
      </c>
      <c r="S111" s="53"/>
      <c r="T111" s="53"/>
      <c r="U111" s="53">
        <f>Table1[[#This Row],[Summa]]+Table1[[#This Row],[I Muudatus]]+Table1[[#This Row],[II Muudatus]]</f>
        <v>100</v>
      </c>
    </row>
    <row r="112" spans="1:21" ht="14.25" hidden="1" customHeight="1" x14ac:dyDescent="0.25">
      <c r="A112" s="41" t="s">
        <v>594</v>
      </c>
      <c r="B112" s="41">
        <v>3924</v>
      </c>
      <c r="C112" s="52">
        <v>5002</v>
      </c>
      <c r="D112" s="52" t="str">
        <f>LEFT(Table1[[#This Row],[Eelarvekonto]],2)</f>
        <v>50</v>
      </c>
      <c r="E112" s="41" t="str">
        <f>VLOOKUP(Table1[[#This Row],[Eelarvekonto]],Table5[[Konto]:[Konto nimetus]],2,FALSE)</f>
        <v>Töötajate töötasud</v>
      </c>
      <c r="F112" s="41" t="s">
        <v>139</v>
      </c>
      <c r="G112" s="41" t="s">
        <v>24</v>
      </c>
      <c r="J112" s="41" t="s">
        <v>320</v>
      </c>
      <c r="K112" s="41" t="s">
        <v>80</v>
      </c>
      <c r="L112" s="58" t="s">
        <v>329</v>
      </c>
      <c r="M112" s="58" t="str">
        <f>LEFT(Table1[[#This Row],[Tegevusala kood]],2)</f>
        <v>06</v>
      </c>
      <c r="N112" s="41" t="str">
        <f>VLOOKUP(Table1[[#This Row],[Tegevusala kood]],Table4[[Tegevusala kood]:[Tegevusala alanimetus]],2,FALSE)</f>
        <v>Kalmistud</v>
      </c>
      <c r="O112" s="41" t="s">
        <v>1</v>
      </c>
      <c r="P112" s="41" t="s">
        <v>1</v>
      </c>
      <c r="Q112" s="41" t="str">
        <f>VLOOKUP(Table1[[#This Row],[Eelarvekonto]],Table5[[Konto]:[Kontode alanimetus]],5,FALSE)</f>
        <v>Tööjõukulud</v>
      </c>
      <c r="R112" s="42" t="str">
        <f>VLOOKUP(Table1[[#This Row],[Tegevusala kood]],Table4[[Tegevusala kood]:[Tegevusala alanimetus]],4,FALSE)</f>
        <v>Muu elamu- ja kommunaalmajanduse tegevus</v>
      </c>
      <c r="S112" s="53"/>
      <c r="T112" s="53"/>
      <c r="U112" s="53">
        <f>Table1[[#This Row],[Summa]]+Table1[[#This Row],[I Muudatus]]+Table1[[#This Row],[II Muudatus]]</f>
        <v>3924</v>
      </c>
    </row>
    <row r="113" spans="1:21" ht="14.25" hidden="1" customHeight="1" x14ac:dyDescent="0.25">
      <c r="A113" s="41" t="s">
        <v>595</v>
      </c>
      <c r="B113" s="41">
        <v>769.08</v>
      </c>
      <c r="C113" s="52">
        <v>5514</v>
      </c>
      <c r="D113" s="52" t="str">
        <f>LEFT(Table1[[#This Row],[Eelarvekonto]],2)</f>
        <v>55</v>
      </c>
      <c r="E113" s="41" t="str">
        <f>VLOOKUP(Table1[[#This Row],[Eelarvekonto]],Table5[[Konto]:[Konto nimetus]],2,FALSE)</f>
        <v>Info- ja kommunikatsioonitehnoloogia kulud</v>
      </c>
      <c r="F113" s="41" t="s">
        <v>139</v>
      </c>
      <c r="G113" s="41" t="s">
        <v>24</v>
      </c>
      <c r="J113" s="41" t="s">
        <v>320</v>
      </c>
      <c r="K113" s="41" t="s">
        <v>80</v>
      </c>
      <c r="L113" s="58" t="s">
        <v>329</v>
      </c>
      <c r="M113" s="58" t="str">
        <f>LEFT(Table1[[#This Row],[Tegevusala kood]],2)</f>
        <v>06</v>
      </c>
      <c r="N113" s="41" t="str">
        <f>VLOOKUP(Table1[[#This Row],[Tegevusala kood]],Table4[[Tegevusala kood]:[Tegevusala alanimetus]],2,FALSE)</f>
        <v>Kalmistud</v>
      </c>
      <c r="O113" s="41" t="s">
        <v>1</v>
      </c>
      <c r="P113" s="41" t="s">
        <v>1</v>
      </c>
      <c r="Q113" s="41" t="str">
        <f>VLOOKUP(Table1[[#This Row],[Eelarvekonto]],Table5[[Konto]:[Kontode alanimetus]],5,FALSE)</f>
        <v>Majandamiskulud</v>
      </c>
      <c r="R113" s="42" t="str">
        <f>VLOOKUP(Table1[[#This Row],[Tegevusala kood]],Table4[[Tegevusala kood]:[Tegevusala alanimetus]],4,FALSE)</f>
        <v>Muu elamu- ja kommunaalmajanduse tegevus</v>
      </c>
      <c r="S113" s="53"/>
      <c r="T113" s="53"/>
      <c r="U113" s="53">
        <f>Table1[[#This Row],[Summa]]+Table1[[#This Row],[I Muudatus]]+Table1[[#This Row],[II Muudatus]]</f>
        <v>769.08</v>
      </c>
    </row>
    <row r="114" spans="1:21" ht="14.25" hidden="1" customHeight="1" x14ac:dyDescent="0.25">
      <c r="A114" s="41" t="s">
        <v>330</v>
      </c>
      <c r="B114" s="41">
        <v>1000</v>
      </c>
      <c r="C114" s="52">
        <v>5511</v>
      </c>
      <c r="D114" s="52" t="str">
        <f>LEFT(Table1[[#This Row],[Eelarvekonto]],2)</f>
        <v>55</v>
      </c>
      <c r="E114" s="41" t="str">
        <f>VLOOKUP(Table1[[#This Row],[Eelarvekonto]],Table5[[Konto]:[Konto nimetus]],2,FALSE)</f>
        <v>Kinnistute, hoonete ja ruumide majandamiskulud</v>
      </c>
      <c r="F114" s="41" t="s">
        <v>139</v>
      </c>
      <c r="G114" s="41" t="s">
        <v>24</v>
      </c>
      <c r="J114" s="41" t="s">
        <v>320</v>
      </c>
      <c r="K114" s="41" t="s">
        <v>80</v>
      </c>
      <c r="L114" s="58" t="s">
        <v>329</v>
      </c>
      <c r="M114" s="58" t="str">
        <f>LEFT(Table1[[#This Row],[Tegevusala kood]],2)</f>
        <v>06</v>
      </c>
      <c r="N114" s="41" t="str">
        <f>VLOOKUP(Table1[[#This Row],[Tegevusala kood]],Table4[[Tegevusala kood]:[Tegevusala alanimetus]],2,FALSE)</f>
        <v>Kalmistud</v>
      </c>
      <c r="O114" s="41" t="s">
        <v>1</v>
      </c>
      <c r="P114" s="41" t="s">
        <v>1</v>
      </c>
      <c r="Q114" s="41" t="str">
        <f>VLOOKUP(Table1[[#This Row],[Eelarvekonto]],Table5[[Konto]:[Kontode alanimetus]],5,FALSE)</f>
        <v>Majandamiskulud</v>
      </c>
      <c r="R114" s="42" t="str">
        <f>VLOOKUP(Table1[[#This Row],[Tegevusala kood]],Table4[[Tegevusala kood]:[Tegevusala alanimetus]],4,FALSE)</f>
        <v>Muu elamu- ja kommunaalmajanduse tegevus</v>
      </c>
      <c r="S114" s="53"/>
      <c r="T114" s="53"/>
      <c r="U114" s="53">
        <f>Table1[[#This Row],[Summa]]+Table1[[#This Row],[I Muudatus]]+Table1[[#This Row],[II Muudatus]]</f>
        <v>1000</v>
      </c>
    </row>
    <row r="115" spans="1:21" ht="14.25" hidden="1" customHeight="1" x14ac:dyDescent="0.25">
      <c r="A115" s="41" t="s">
        <v>594</v>
      </c>
      <c r="B115" s="41">
        <v>2280</v>
      </c>
      <c r="C115" s="52">
        <v>5002</v>
      </c>
      <c r="D115" s="52" t="str">
        <f>LEFT(Table1[[#This Row],[Eelarvekonto]],2)</f>
        <v>50</v>
      </c>
      <c r="E115" s="41" t="str">
        <f>VLOOKUP(Table1[[#This Row],[Eelarvekonto]],Table5[[Konto]:[Konto nimetus]],2,FALSE)</f>
        <v>Töötajate töötasud</v>
      </c>
      <c r="F115" s="41" t="s">
        <v>139</v>
      </c>
      <c r="G115" s="41" t="s">
        <v>24</v>
      </c>
      <c r="J115" s="41" t="s">
        <v>320</v>
      </c>
      <c r="K115" s="41" t="s">
        <v>80</v>
      </c>
      <c r="L115" s="58" t="s">
        <v>329</v>
      </c>
      <c r="M115" s="58" t="str">
        <f>LEFT(Table1[[#This Row],[Tegevusala kood]],2)</f>
        <v>06</v>
      </c>
      <c r="N115" s="41" t="str">
        <f>VLOOKUP(Table1[[#This Row],[Tegevusala kood]],Table4[[Tegevusala kood]:[Tegevusala alanimetus]],2,FALSE)</f>
        <v>Kalmistud</v>
      </c>
      <c r="O115" s="41" t="s">
        <v>1</v>
      </c>
      <c r="P115" s="41" t="s">
        <v>1</v>
      </c>
      <c r="Q115" s="41" t="str">
        <f>VLOOKUP(Table1[[#This Row],[Eelarvekonto]],Table5[[Konto]:[Kontode alanimetus]],5,FALSE)</f>
        <v>Tööjõukulud</v>
      </c>
      <c r="R115" s="42" t="str">
        <f>VLOOKUP(Table1[[#This Row],[Tegevusala kood]],Table4[[Tegevusala kood]:[Tegevusala alanimetus]],4,FALSE)</f>
        <v>Muu elamu- ja kommunaalmajanduse tegevus</v>
      </c>
      <c r="S115" s="53"/>
      <c r="T115" s="53"/>
      <c r="U115" s="53">
        <f>Table1[[#This Row],[Summa]]+Table1[[#This Row],[I Muudatus]]+Table1[[#This Row],[II Muudatus]]</f>
        <v>2280</v>
      </c>
    </row>
    <row r="116" spans="1:21" ht="14.25" hidden="1" customHeight="1" x14ac:dyDescent="0.25">
      <c r="A116" s="41" t="s">
        <v>594</v>
      </c>
      <c r="B116" s="41">
        <v>3924</v>
      </c>
      <c r="C116" s="52">
        <v>5002</v>
      </c>
      <c r="D116" s="52" t="str">
        <f>LEFT(Table1[[#This Row],[Eelarvekonto]],2)</f>
        <v>50</v>
      </c>
      <c r="E116" s="41" t="str">
        <f>VLOOKUP(Table1[[#This Row],[Eelarvekonto]],Table5[[Konto]:[Konto nimetus]],2,FALSE)</f>
        <v>Töötajate töötasud</v>
      </c>
      <c r="F116" s="41" t="s">
        <v>139</v>
      </c>
      <c r="G116" s="41" t="s">
        <v>24</v>
      </c>
      <c r="J116" s="41" t="s">
        <v>320</v>
      </c>
      <c r="K116" s="41" t="s">
        <v>80</v>
      </c>
      <c r="L116" s="58" t="s">
        <v>329</v>
      </c>
      <c r="M116" s="58" t="str">
        <f>LEFT(Table1[[#This Row],[Tegevusala kood]],2)</f>
        <v>06</v>
      </c>
      <c r="N116" s="41" t="str">
        <f>VLOOKUP(Table1[[#This Row],[Tegevusala kood]],Table4[[Tegevusala kood]:[Tegevusala alanimetus]],2,FALSE)</f>
        <v>Kalmistud</v>
      </c>
      <c r="O116" s="41" t="s">
        <v>1</v>
      </c>
      <c r="P116" s="41" t="s">
        <v>1</v>
      </c>
      <c r="Q116" s="41" t="str">
        <f>VLOOKUP(Table1[[#This Row],[Eelarvekonto]],Table5[[Konto]:[Kontode alanimetus]],5,FALSE)</f>
        <v>Tööjõukulud</v>
      </c>
      <c r="R116" s="42" t="str">
        <f>VLOOKUP(Table1[[#This Row],[Tegevusala kood]],Table4[[Tegevusala kood]:[Tegevusala alanimetus]],4,FALSE)</f>
        <v>Muu elamu- ja kommunaalmajanduse tegevus</v>
      </c>
      <c r="S116" s="53"/>
      <c r="T116" s="53"/>
      <c r="U116" s="53">
        <f>Table1[[#This Row],[Summa]]+Table1[[#This Row],[I Muudatus]]+Table1[[#This Row],[II Muudatus]]</f>
        <v>3924</v>
      </c>
    </row>
    <row r="117" spans="1:21" ht="14.25" hidden="1" customHeight="1" x14ac:dyDescent="0.25">
      <c r="A117" s="41" t="s">
        <v>593</v>
      </c>
      <c r="B117" s="41">
        <v>2400</v>
      </c>
      <c r="C117" s="52">
        <v>4500</v>
      </c>
      <c r="D117" s="52" t="str">
        <f>LEFT(Table1[[#This Row],[Eelarvekonto]],2)</f>
        <v>45</v>
      </c>
      <c r="E117" s="41" t="str">
        <f>VLOOKUP(Table1[[#This Row],[Eelarvekonto]],Table5[[Konto]:[Konto nimetus]],2,FALSE)</f>
        <v>Antud sihtfinantseerimine tegevuskuludeks</v>
      </c>
      <c r="F117" s="41" t="s">
        <v>139</v>
      </c>
      <c r="G117" s="41" t="s">
        <v>24</v>
      </c>
      <c r="J117" s="41" t="s">
        <v>320</v>
      </c>
      <c r="K117" s="41" t="s">
        <v>80</v>
      </c>
      <c r="L117" s="58" t="s">
        <v>329</v>
      </c>
      <c r="M117" s="58" t="str">
        <f>LEFT(Table1[[#This Row],[Tegevusala kood]],2)</f>
        <v>06</v>
      </c>
      <c r="N117" s="41" t="str">
        <f>VLOOKUP(Table1[[#This Row],[Tegevusala kood]],Table4[[Tegevusala kood]:[Tegevusala alanimetus]],2,FALSE)</f>
        <v>Kalmistud</v>
      </c>
      <c r="O117" s="41" t="s">
        <v>1</v>
      </c>
      <c r="P117" s="41" t="s">
        <v>1</v>
      </c>
      <c r="Q117" s="41" t="str">
        <f>VLOOKUP(Table1[[#This Row],[Eelarvekonto]],Table5[[Konto]:[Kontode alanimetus]],5,FALSE)</f>
        <v>Sihtotstarbelised toetused tegevuskuludeks</v>
      </c>
      <c r="R117" s="42" t="str">
        <f>VLOOKUP(Table1[[#This Row],[Tegevusala kood]],Table4[[Tegevusala kood]:[Tegevusala alanimetus]],4,FALSE)</f>
        <v>Muu elamu- ja kommunaalmajanduse tegevus</v>
      </c>
      <c r="S117" s="53"/>
      <c r="T117" s="53"/>
      <c r="U117" s="53">
        <f>Table1[[#This Row],[Summa]]+Table1[[#This Row],[I Muudatus]]+Table1[[#This Row],[II Muudatus]]</f>
        <v>2400</v>
      </c>
    </row>
    <row r="118" spans="1:21" ht="14.25" hidden="1" customHeight="1" x14ac:dyDescent="0.25">
      <c r="A118" s="41" t="s">
        <v>1017</v>
      </c>
      <c r="B118" s="41">
        <v>21302</v>
      </c>
      <c r="C118" s="52">
        <v>5524</v>
      </c>
      <c r="D118" s="52" t="str">
        <f>LEFT(Table1[[#This Row],[Eelarvekonto]],2)</f>
        <v>55</v>
      </c>
      <c r="E118" s="41" t="str">
        <f>VLOOKUP(Table1[[#This Row],[Eelarvekonto]],Table5[[Konto]:[Konto nimetus]],2,FALSE)</f>
        <v>Õppevahendite ja koolituse kulud</v>
      </c>
      <c r="F118" s="41" t="s">
        <v>139</v>
      </c>
      <c r="G118" s="41" t="s">
        <v>24</v>
      </c>
      <c r="J118" s="41" t="s">
        <v>342</v>
      </c>
      <c r="K118" s="41" t="s">
        <v>341</v>
      </c>
      <c r="L118" s="58" t="s">
        <v>355</v>
      </c>
      <c r="M118" s="58" t="str">
        <f>LEFT(Table1[[#This Row],[Tegevusala kood]],2)</f>
        <v>09</v>
      </c>
      <c r="N118" s="41" t="str">
        <f>VLOOKUP(Table1[[#This Row],[Tegevusala kood]],Table4[[Tegevusala kood]:[Tegevusala alanimetus]],2,FALSE)</f>
        <v>Huviringide personalikulud ja õppevahendid</v>
      </c>
      <c r="O118" s="41" t="s">
        <v>1</v>
      </c>
      <c r="P118" s="41" t="s">
        <v>1</v>
      </c>
      <c r="Q118" s="41" t="str">
        <f>VLOOKUP(Table1[[#This Row],[Eelarvekonto]],Table5[[Konto]:[Kontode alanimetus]],5,FALSE)</f>
        <v>Majandamiskulud</v>
      </c>
      <c r="R118" s="42" t="str">
        <f>VLOOKUP(Table1[[#This Row],[Tegevusala kood]],Table4[[Tegevusala kood]:[Tegevusala alanimetus]],4,FALSE)</f>
        <v>Noorte huviharidus ja huvitegevus</v>
      </c>
      <c r="S118" s="53"/>
      <c r="T118" s="53"/>
      <c r="U118" s="53">
        <f>Table1[[#This Row],[Summa]]+Table1[[#This Row],[I Muudatus]]+Table1[[#This Row],[II Muudatus]]</f>
        <v>21302</v>
      </c>
    </row>
    <row r="119" spans="1:21" ht="14.25" hidden="1" customHeight="1" x14ac:dyDescent="0.25">
      <c r="A119" s="41" t="s">
        <v>158</v>
      </c>
      <c r="B119" s="41">
        <v>27458.84</v>
      </c>
      <c r="C119" s="52">
        <v>506</v>
      </c>
      <c r="D119" s="52" t="str">
        <f>LEFT(Table1[[#This Row],[Eelarvekonto]],2)</f>
        <v>50</v>
      </c>
      <c r="E119" s="41" t="str">
        <f>VLOOKUP(Table1[[#This Row],[Eelarvekonto]],Table5[[Konto]:[Konto nimetus]],2,FALSE)</f>
        <v>Tööjõukuludega kaasnevad maksud ja sotsiaalkindlustusmaksed</v>
      </c>
      <c r="F119" s="41" t="s">
        <v>139</v>
      </c>
      <c r="G119" s="41" t="s">
        <v>24</v>
      </c>
      <c r="J119" s="41" t="s">
        <v>342</v>
      </c>
      <c r="K119" s="41" t="s">
        <v>341</v>
      </c>
      <c r="L119" s="58" t="s">
        <v>355</v>
      </c>
      <c r="M119" s="58" t="str">
        <f>LEFT(Table1[[#This Row],[Tegevusala kood]],2)</f>
        <v>09</v>
      </c>
      <c r="N119" s="41" t="str">
        <f>VLOOKUP(Table1[[#This Row],[Tegevusala kood]],Table4[[Tegevusala kood]:[Tegevusala alanimetus]],2,FALSE)</f>
        <v>Huviringide personalikulud ja õppevahendid</v>
      </c>
      <c r="O119" s="41" t="s">
        <v>1</v>
      </c>
      <c r="P119" s="41" t="s">
        <v>1</v>
      </c>
      <c r="Q119" s="41" t="str">
        <f>VLOOKUP(Table1[[#This Row],[Eelarvekonto]],Table5[[Konto]:[Kontode alanimetus]],5,FALSE)</f>
        <v>Tööjõukulud</v>
      </c>
      <c r="R119" s="42" t="str">
        <f>VLOOKUP(Table1[[#This Row],[Tegevusala kood]],Table4[[Tegevusala kood]:[Tegevusala alanimetus]],4,FALSE)</f>
        <v>Noorte huviharidus ja huvitegevus</v>
      </c>
      <c r="S119" s="53"/>
      <c r="T119" s="53"/>
      <c r="U119" s="53">
        <f>Table1[[#This Row],[Summa]]+Table1[[#This Row],[I Muudatus]]+Table1[[#This Row],[II Muudatus]]</f>
        <v>27458.84</v>
      </c>
    </row>
    <row r="120" spans="1:21" ht="14.25" hidden="1" customHeight="1" x14ac:dyDescent="0.25">
      <c r="A120" s="41" t="s">
        <v>1018</v>
      </c>
      <c r="B120" s="41">
        <v>81239.16</v>
      </c>
      <c r="C120" s="52">
        <v>5002</v>
      </c>
      <c r="D120" s="52" t="str">
        <f>LEFT(Table1[[#This Row],[Eelarvekonto]],2)</f>
        <v>50</v>
      </c>
      <c r="E120" s="41" t="str">
        <f>VLOOKUP(Table1[[#This Row],[Eelarvekonto]],Table5[[Konto]:[Konto nimetus]],2,FALSE)</f>
        <v>Töötajate töötasud</v>
      </c>
      <c r="F120" s="41" t="s">
        <v>139</v>
      </c>
      <c r="G120" s="41" t="s">
        <v>24</v>
      </c>
      <c r="J120" s="41" t="s">
        <v>342</v>
      </c>
      <c r="K120" s="41" t="s">
        <v>341</v>
      </c>
      <c r="L120" s="58" t="s">
        <v>355</v>
      </c>
      <c r="M120" s="58" t="str">
        <f>LEFT(Table1[[#This Row],[Tegevusala kood]],2)</f>
        <v>09</v>
      </c>
      <c r="N120" s="41" t="str">
        <f>VLOOKUP(Table1[[#This Row],[Tegevusala kood]],Table4[[Tegevusala kood]:[Tegevusala alanimetus]],2,FALSE)</f>
        <v>Huviringide personalikulud ja õppevahendid</v>
      </c>
      <c r="O120" s="41" t="s">
        <v>1</v>
      </c>
      <c r="P120" s="41" t="s">
        <v>1</v>
      </c>
      <c r="Q120" s="41" t="str">
        <f>VLOOKUP(Table1[[#This Row],[Eelarvekonto]],Table5[[Konto]:[Kontode alanimetus]],5,FALSE)</f>
        <v>Tööjõukulud</v>
      </c>
      <c r="R120" s="42" t="str">
        <f>VLOOKUP(Table1[[#This Row],[Tegevusala kood]],Table4[[Tegevusala kood]:[Tegevusala alanimetus]],4,FALSE)</f>
        <v>Noorte huviharidus ja huvitegevus</v>
      </c>
      <c r="S120" s="53"/>
      <c r="T120" s="53"/>
      <c r="U120" s="53">
        <f>Table1[[#This Row],[Summa]]+Table1[[#This Row],[I Muudatus]]+Table1[[#This Row],[II Muudatus]]</f>
        <v>81239.16</v>
      </c>
    </row>
    <row r="121" spans="1:21" ht="14.25" hidden="1" customHeight="1" x14ac:dyDescent="0.25">
      <c r="A121" s="41" t="s">
        <v>1019</v>
      </c>
      <c r="B121" s="41">
        <v>2160</v>
      </c>
      <c r="C121" s="52">
        <v>5005</v>
      </c>
      <c r="D121" s="52" t="str">
        <f>LEFT(Table1[[#This Row],[Eelarvekonto]],2)</f>
        <v>50</v>
      </c>
      <c r="E121" s="41" t="str">
        <f>VLOOKUP(Table1[[#This Row],[Eelarvekonto]],Table5[[Konto]:[Konto nimetus]],2,FALSE)</f>
        <v>Töötasud võlaõiguslike lepingute alusel</v>
      </c>
      <c r="F121" s="41" t="s">
        <v>139</v>
      </c>
      <c r="G121" s="41" t="s">
        <v>24</v>
      </c>
      <c r="J121" s="41" t="s">
        <v>365</v>
      </c>
      <c r="K121" s="41" t="s">
        <v>364</v>
      </c>
      <c r="L121" s="58" t="s">
        <v>390</v>
      </c>
      <c r="M121" s="58" t="str">
        <f>LEFT(Table1[[#This Row],[Tegevusala kood]],2)</f>
        <v>10</v>
      </c>
      <c r="N121" s="41" t="str">
        <f>VLOOKUP(Table1[[#This Row],[Tegevusala kood]],Table4[[Tegevusala kood]:[Tegevusala alanimetus]],2,FALSE)</f>
        <v>Hooldajad</v>
      </c>
      <c r="O121" s="41" t="s">
        <v>1</v>
      </c>
      <c r="P121" s="41" t="s">
        <v>1</v>
      </c>
      <c r="Q121" s="41" t="str">
        <f>VLOOKUP(Table1[[#This Row],[Eelarvekonto]],Table5[[Konto]:[Kontode alanimetus]],5,FALSE)</f>
        <v>Tööjõukulud</v>
      </c>
      <c r="R121" s="42" t="str">
        <f>VLOOKUP(Table1[[#This Row],[Tegevusala kood]],Table4[[Tegevusala kood]:[Tegevusala alanimetus]],4,FALSE)</f>
        <v>Muu eakate sotsiaalne kaitse</v>
      </c>
      <c r="S121" s="53"/>
      <c r="T121" s="53"/>
      <c r="U121" s="53">
        <f>Table1[[#This Row],[Summa]]+Table1[[#This Row],[I Muudatus]]+Table1[[#This Row],[II Muudatus]]</f>
        <v>2160</v>
      </c>
    </row>
    <row r="122" spans="1:21" ht="14.25" hidden="1" customHeight="1" x14ac:dyDescent="0.25">
      <c r="A122" s="41" t="s">
        <v>158</v>
      </c>
      <c r="B122" s="41">
        <v>9491.0400000000009</v>
      </c>
      <c r="C122" s="52">
        <v>506</v>
      </c>
      <c r="D122" s="41" t="str">
        <f>LEFT(Table1[[#This Row],[Eelarvekonto]],2)</f>
        <v>50</v>
      </c>
      <c r="E122" s="41" t="str">
        <f>VLOOKUP(Table1[[#This Row],[Eelarvekonto]],Table5[[Konto]:[Konto nimetus]],2,FALSE)</f>
        <v>Tööjõukuludega kaasnevad maksud ja sotsiaalkindlustusmaksed</v>
      </c>
      <c r="F122" s="41" t="s">
        <v>139</v>
      </c>
      <c r="G122" s="41" t="s">
        <v>24</v>
      </c>
      <c r="J122" s="41" t="s">
        <v>365</v>
      </c>
      <c r="K122" s="41" t="s">
        <v>364</v>
      </c>
      <c r="L122" s="58" t="s">
        <v>390</v>
      </c>
      <c r="M122" s="58" t="str">
        <f>LEFT(Table1[[#This Row],[Tegevusala kood]],2)</f>
        <v>10</v>
      </c>
      <c r="N122" s="41" t="str">
        <f>VLOOKUP(Table1[[#This Row],[Tegevusala kood]],Table4[[Tegevusala kood]:[Tegevusala alanimetus]],2,FALSE)</f>
        <v>Hooldajad</v>
      </c>
      <c r="O122" s="41" t="s">
        <v>1</v>
      </c>
      <c r="P122" s="41" t="s">
        <v>1</v>
      </c>
      <c r="Q122" s="41" t="str">
        <f>VLOOKUP(Table1[[#This Row],[Eelarvekonto]],Table5[[Konto]:[Kontode alanimetus]],5,FALSE)</f>
        <v>Tööjõukulud</v>
      </c>
      <c r="R122" s="42" t="str">
        <f>VLOOKUP(Table1[[#This Row],[Tegevusala kood]],Table4[[Tegevusala kood]:[Tegevusala alanimetus]],4,FALSE)</f>
        <v>Muu eakate sotsiaalne kaitse</v>
      </c>
      <c r="S122" s="53"/>
      <c r="T122" s="53"/>
      <c r="U122" s="53">
        <f>Table1[[#This Row],[Summa]]+Table1[[#This Row],[I Muudatus]]+Table1[[#This Row],[II Muudatus]]</f>
        <v>9491.0400000000009</v>
      </c>
    </row>
    <row r="123" spans="1:21" ht="14.25" hidden="1" customHeight="1" x14ac:dyDescent="0.25">
      <c r="A123" s="41" t="s">
        <v>653</v>
      </c>
      <c r="B123" s="41">
        <v>8400</v>
      </c>
      <c r="C123" s="52">
        <v>5002</v>
      </c>
      <c r="D123" s="68" t="str">
        <f>LEFT(Table1[[#This Row],[Eelarvekonto]],2)</f>
        <v>50</v>
      </c>
      <c r="E123" s="41" t="str">
        <f>VLOOKUP(Table1[[#This Row],[Eelarvekonto]],Table5[[Konto]:[Konto nimetus]],2,FALSE)</f>
        <v>Töötajate töötasud</v>
      </c>
      <c r="F123" s="41" t="s">
        <v>139</v>
      </c>
      <c r="G123" s="41" t="s">
        <v>24</v>
      </c>
      <c r="J123" s="41" t="s">
        <v>365</v>
      </c>
      <c r="K123" s="41" t="s">
        <v>364</v>
      </c>
      <c r="L123" s="58" t="s">
        <v>390</v>
      </c>
      <c r="M123" s="58" t="str">
        <f>LEFT(Table1[[#This Row],[Tegevusala kood]],2)</f>
        <v>10</v>
      </c>
      <c r="N123" s="41" t="str">
        <f>VLOOKUP(Table1[[#This Row],[Tegevusala kood]],Table4[[Tegevusala kood]:[Tegevusala alanimetus]],2,FALSE)</f>
        <v>Hooldajad</v>
      </c>
      <c r="O123" s="41" t="s">
        <v>1</v>
      </c>
      <c r="P123" s="41" t="s">
        <v>1</v>
      </c>
      <c r="Q123" s="41" t="str">
        <f>VLOOKUP(Table1[[#This Row],[Eelarvekonto]],Table5[[Konto]:[Kontode alanimetus]],5,FALSE)</f>
        <v>Tööjõukulud</v>
      </c>
      <c r="R123" s="42" t="str">
        <f>VLOOKUP(Table1[[#This Row],[Tegevusala kood]],Table4[[Tegevusala kood]:[Tegevusala alanimetus]],4,FALSE)</f>
        <v>Muu eakate sotsiaalne kaitse</v>
      </c>
      <c r="S123" s="53"/>
      <c r="T123" s="53"/>
      <c r="U123" s="53">
        <f>Table1[[#This Row],[Summa]]+Table1[[#This Row],[I Muudatus]]+Table1[[#This Row],[II Muudatus]]</f>
        <v>8400</v>
      </c>
    </row>
    <row r="124" spans="1:21" ht="14.25" hidden="1" customHeight="1" x14ac:dyDescent="0.25">
      <c r="A124" s="41" t="s">
        <v>652</v>
      </c>
      <c r="B124" s="41">
        <v>7920</v>
      </c>
      <c r="C124" s="52">
        <v>5002</v>
      </c>
      <c r="D124" s="52" t="str">
        <f>LEFT(Table1[[#This Row],[Eelarvekonto]],2)</f>
        <v>50</v>
      </c>
      <c r="E124" s="41" t="str">
        <f>VLOOKUP(Table1[[#This Row],[Eelarvekonto]],Table5[[Konto]:[Konto nimetus]],2,FALSE)</f>
        <v>Töötajate töötasud</v>
      </c>
      <c r="F124" s="41" t="s">
        <v>139</v>
      </c>
      <c r="G124" s="41" t="s">
        <v>24</v>
      </c>
      <c r="J124" s="41" t="s">
        <v>365</v>
      </c>
      <c r="K124" s="41" t="s">
        <v>364</v>
      </c>
      <c r="L124" s="58" t="s">
        <v>390</v>
      </c>
      <c r="M124" s="58" t="str">
        <f>LEFT(Table1[[#This Row],[Tegevusala kood]],2)</f>
        <v>10</v>
      </c>
      <c r="N124" s="41" t="str">
        <f>VLOOKUP(Table1[[#This Row],[Tegevusala kood]],Table4[[Tegevusala kood]:[Tegevusala alanimetus]],2,FALSE)</f>
        <v>Hooldajad</v>
      </c>
      <c r="O124" s="41" t="s">
        <v>1</v>
      </c>
      <c r="P124" s="41" t="s">
        <v>1</v>
      </c>
      <c r="Q124" s="41" t="str">
        <f>VLOOKUP(Table1[[#This Row],[Eelarvekonto]],Table5[[Konto]:[Kontode alanimetus]],5,FALSE)</f>
        <v>Tööjõukulud</v>
      </c>
      <c r="R124" s="42" t="str">
        <f>VLOOKUP(Table1[[#This Row],[Tegevusala kood]],Table4[[Tegevusala kood]:[Tegevusala alanimetus]],4,FALSE)</f>
        <v>Muu eakate sotsiaalne kaitse</v>
      </c>
      <c r="S124" s="53"/>
      <c r="T124" s="53"/>
      <c r="U124" s="53">
        <f>Table1[[#This Row],[Summa]]+Table1[[#This Row],[I Muudatus]]+Table1[[#This Row],[II Muudatus]]</f>
        <v>7920</v>
      </c>
    </row>
    <row r="125" spans="1:21" ht="14.25" hidden="1" customHeight="1" x14ac:dyDescent="0.25">
      <c r="A125" s="41" t="s">
        <v>651</v>
      </c>
      <c r="B125" s="41">
        <v>9600</v>
      </c>
      <c r="C125" s="52">
        <v>5002</v>
      </c>
      <c r="D125" s="68" t="str">
        <f>LEFT(Table1[[#This Row],[Eelarvekonto]],2)</f>
        <v>50</v>
      </c>
      <c r="E125" s="41" t="str">
        <f>VLOOKUP(Table1[[#This Row],[Eelarvekonto]],Table5[[Konto]:[Konto nimetus]],2,FALSE)</f>
        <v>Töötajate töötasud</v>
      </c>
      <c r="F125" s="41" t="s">
        <v>139</v>
      </c>
      <c r="G125" s="41" t="s">
        <v>24</v>
      </c>
      <c r="J125" s="41" t="s">
        <v>365</v>
      </c>
      <c r="K125" s="41" t="s">
        <v>364</v>
      </c>
      <c r="L125" s="58" t="s">
        <v>390</v>
      </c>
      <c r="M125" s="58" t="str">
        <f>LEFT(Table1[[#This Row],[Tegevusala kood]],2)</f>
        <v>10</v>
      </c>
      <c r="N125" s="41" t="str">
        <f>VLOOKUP(Table1[[#This Row],[Tegevusala kood]],Table4[[Tegevusala kood]:[Tegevusala alanimetus]],2,FALSE)</f>
        <v>Hooldajad</v>
      </c>
      <c r="O125" s="41" t="s">
        <v>1</v>
      </c>
      <c r="P125" s="41" t="s">
        <v>1</v>
      </c>
      <c r="Q125" s="41" t="str">
        <f>VLOOKUP(Table1[[#This Row],[Eelarvekonto]],Table5[[Konto]:[Kontode alanimetus]],5,FALSE)</f>
        <v>Tööjõukulud</v>
      </c>
      <c r="R125" s="42" t="str">
        <f>VLOOKUP(Table1[[#This Row],[Tegevusala kood]],Table4[[Tegevusala kood]:[Tegevusala alanimetus]],4,FALSE)</f>
        <v>Muu eakate sotsiaalne kaitse</v>
      </c>
      <c r="S125" s="53"/>
      <c r="T125" s="53"/>
      <c r="U125" s="53">
        <f>Table1[[#This Row],[Summa]]+Table1[[#This Row],[I Muudatus]]+Table1[[#This Row],[II Muudatus]]</f>
        <v>9600</v>
      </c>
    </row>
    <row r="126" spans="1:21" ht="14.25" hidden="1" customHeight="1" x14ac:dyDescent="0.25">
      <c r="A126" s="41" t="s">
        <v>1020</v>
      </c>
      <c r="B126" s="41">
        <v>18636</v>
      </c>
      <c r="C126" s="52">
        <v>5524</v>
      </c>
      <c r="D126" s="41" t="str">
        <f>LEFT(Table1[[#This Row],[Eelarvekonto]],2)</f>
        <v>55</v>
      </c>
      <c r="E126" s="41" t="str">
        <f>VLOOKUP(Table1[[#This Row],[Eelarvekonto]],Table5[[Konto]:[Konto nimetus]],2,FALSE)</f>
        <v>Õppevahendite ja koolituse kulud</v>
      </c>
      <c r="F126" s="41" t="s">
        <v>139</v>
      </c>
      <c r="G126" s="41" t="s">
        <v>24</v>
      </c>
      <c r="J126" s="41" t="s">
        <v>342</v>
      </c>
      <c r="K126" s="41" t="s">
        <v>341</v>
      </c>
      <c r="L126" s="58" t="s">
        <v>358</v>
      </c>
      <c r="M126" s="58" t="str">
        <f>LEFT(Table1[[#This Row],[Tegevusala kood]],2)</f>
        <v>09</v>
      </c>
      <c r="N126" s="41" t="str">
        <f>VLOOKUP(Table1[[#This Row],[Tegevusala kood]],Table4[[Tegevusala kood]:[Tegevusala alanimetus]],2,FALSE)</f>
        <v>HEV kohatasud/õpilaskodu</v>
      </c>
      <c r="O126" s="41" t="s">
        <v>1</v>
      </c>
      <c r="P126" s="41" t="s">
        <v>1</v>
      </c>
      <c r="Q126" s="41" t="str">
        <f>VLOOKUP(Table1[[#This Row],[Eelarvekonto]],Table5[[Konto]:[Kontode alanimetus]],5,FALSE)</f>
        <v>Majandamiskulud</v>
      </c>
      <c r="R126" s="42" t="str">
        <f>VLOOKUP(Table1[[#This Row],[Tegevusala kood]],Table4[[Tegevusala kood]:[Tegevusala alanimetus]],4,FALSE)</f>
        <v>Põhihariduse otsekulud</v>
      </c>
      <c r="S126" s="53"/>
      <c r="T126" s="53"/>
      <c r="U126" s="53">
        <f>Table1[[#This Row],[Summa]]+Table1[[#This Row],[I Muudatus]]+Table1[[#This Row],[II Muudatus]]</f>
        <v>18636</v>
      </c>
    </row>
    <row r="127" spans="1:21" ht="14.25" hidden="1" customHeight="1" x14ac:dyDescent="0.25">
      <c r="A127" s="41" t="s">
        <v>1021</v>
      </c>
      <c r="B127" s="41">
        <v>350</v>
      </c>
      <c r="C127" s="52">
        <v>4500</v>
      </c>
      <c r="D127" s="52" t="str">
        <f>LEFT(Table1[[#This Row],[Eelarvekonto]],2)</f>
        <v>45</v>
      </c>
      <c r="E127" s="41" t="str">
        <f>VLOOKUP(Table1[[#This Row],[Eelarvekonto]],Table5[[Konto]:[Konto nimetus]],2,FALSE)</f>
        <v>Antud sihtfinantseerimine tegevuskuludeks</v>
      </c>
      <c r="F127" s="41" t="s">
        <v>139</v>
      </c>
      <c r="G127" s="41" t="s">
        <v>24</v>
      </c>
      <c r="J127" s="41" t="s">
        <v>365</v>
      </c>
      <c r="K127" s="41" t="s">
        <v>364</v>
      </c>
      <c r="L127" s="58" t="s">
        <v>401</v>
      </c>
      <c r="M127" s="58" t="str">
        <f>LEFT(Table1[[#This Row],[Tegevusala kood]],2)</f>
        <v>10</v>
      </c>
      <c r="N127" s="41" t="str">
        <f>VLOOKUP(Table1[[#This Row],[Tegevusala kood]],Table4[[Tegevusala kood]:[Tegevusala alanimetus]],2,FALSE)</f>
        <v>Haigete sotsiaalne kaitse</v>
      </c>
      <c r="O127" s="41" t="s">
        <v>1</v>
      </c>
      <c r="P127" s="41" t="s">
        <v>1</v>
      </c>
      <c r="Q127" s="41" t="str">
        <f>VLOOKUP(Table1[[#This Row],[Eelarvekonto]],Table5[[Konto]:[Kontode alanimetus]],5,FALSE)</f>
        <v>Sihtotstarbelised toetused tegevuskuludeks</v>
      </c>
      <c r="R127" s="42" t="str">
        <f>VLOOKUP(Table1[[#This Row],[Tegevusala kood]],Table4[[Tegevusala kood]:[Tegevusala alanimetus]],4,FALSE)</f>
        <v>Haigete sotsiaalne kaitse</v>
      </c>
      <c r="S127" s="53"/>
      <c r="T127" s="53"/>
      <c r="U127" s="53">
        <f>Table1[[#This Row],[Summa]]+Table1[[#This Row],[I Muudatus]]+Table1[[#This Row],[II Muudatus]]</f>
        <v>350</v>
      </c>
    </row>
    <row r="128" spans="1:21" ht="14.25" hidden="1" customHeight="1" x14ac:dyDescent="0.25">
      <c r="A128" s="41" t="s">
        <v>1022</v>
      </c>
      <c r="B128" s="41">
        <v>250</v>
      </c>
      <c r="C128" s="52">
        <v>4500</v>
      </c>
      <c r="D128" s="52" t="str">
        <f>LEFT(Table1[[#This Row],[Eelarvekonto]],2)</f>
        <v>45</v>
      </c>
      <c r="E128" s="41" t="str">
        <f>VLOOKUP(Table1[[#This Row],[Eelarvekonto]],Table5[[Konto]:[Konto nimetus]],2,FALSE)</f>
        <v>Antud sihtfinantseerimine tegevuskuludeks</v>
      </c>
      <c r="F128" s="41" t="s">
        <v>139</v>
      </c>
      <c r="G128" s="41" t="s">
        <v>24</v>
      </c>
      <c r="J128" s="41" t="s">
        <v>365</v>
      </c>
      <c r="K128" s="41" t="s">
        <v>364</v>
      </c>
      <c r="L128" s="58" t="s">
        <v>401</v>
      </c>
      <c r="M128" s="58" t="str">
        <f>LEFT(Table1[[#This Row],[Tegevusala kood]],2)</f>
        <v>10</v>
      </c>
      <c r="N128" s="41" t="str">
        <f>VLOOKUP(Table1[[#This Row],[Tegevusala kood]],Table4[[Tegevusala kood]:[Tegevusala alanimetus]],2,FALSE)</f>
        <v>Haigete sotsiaalne kaitse</v>
      </c>
      <c r="O128" s="41" t="s">
        <v>1</v>
      </c>
      <c r="P128" s="41" t="s">
        <v>1</v>
      </c>
      <c r="Q128" s="41" t="str">
        <f>VLOOKUP(Table1[[#This Row],[Eelarvekonto]],Table5[[Konto]:[Kontode alanimetus]],5,FALSE)</f>
        <v>Sihtotstarbelised toetused tegevuskuludeks</v>
      </c>
      <c r="R128" s="42" t="str">
        <f>VLOOKUP(Table1[[#This Row],[Tegevusala kood]],Table4[[Tegevusala kood]:[Tegevusala alanimetus]],4,FALSE)</f>
        <v>Haigete sotsiaalne kaitse</v>
      </c>
      <c r="S128" s="53"/>
      <c r="T128" s="53"/>
      <c r="U128" s="53">
        <f>Table1[[#This Row],[Summa]]+Table1[[#This Row],[I Muudatus]]+Table1[[#This Row],[II Muudatus]]</f>
        <v>250</v>
      </c>
    </row>
    <row r="129" spans="1:21" ht="14.25" hidden="1" customHeight="1" x14ac:dyDescent="0.25">
      <c r="A129" s="41" t="s">
        <v>1023</v>
      </c>
      <c r="B129" s="41">
        <v>700</v>
      </c>
      <c r="C129" s="52">
        <v>4500</v>
      </c>
      <c r="D129" s="52" t="str">
        <f>LEFT(Table1[[#This Row],[Eelarvekonto]],2)</f>
        <v>45</v>
      </c>
      <c r="E129" s="41" t="str">
        <f>VLOOKUP(Table1[[#This Row],[Eelarvekonto]],Table5[[Konto]:[Konto nimetus]],2,FALSE)</f>
        <v>Antud sihtfinantseerimine tegevuskuludeks</v>
      </c>
      <c r="F129" s="41" t="s">
        <v>139</v>
      </c>
      <c r="G129" s="41" t="s">
        <v>24</v>
      </c>
      <c r="J129" s="41" t="s">
        <v>365</v>
      </c>
      <c r="K129" s="41" t="s">
        <v>364</v>
      </c>
      <c r="L129" s="58" t="s">
        <v>401</v>
      </c>
      <c r="M129" s="58" t="str">
        <f>LEFT(Table1[[#This Row],[Tegevusala kood]],2)</f>
        <v>10</v>
      </c>
      <c r="N129" s="41" t="str">
        <f>VLOOKUP(Table1[[#This Row],[Tegevusala kood]],Table4[[Tegevusala kood]:[Tegevusala alanimetus]],2,FALSE)</f>
        <v>Haigete sotsiaalne kaitse</v>
      </c>
      <c r="O129" s="41" t="s">
        <v>1</v>
      </c>
      <c r="P129" s="41" t="s">
        <v>1</v>
      </c>
      <c r="Q129" s="41" t="str">
        <f>VLOOKUP(Table1[[#This Row],[Eelarvekonto]],Table5[[Konto]:[Kontode alanimetus]],5,FALSE)</f>
        <v>Sihtotstarbelised toetused tegevuskuludeks</v>
      </c>
      <c r="R129" s="42" t="str">
        <f>VLOOKUP(Table1[[#This Row],[Tegevusala kood]],Table4[[Tegevusala kood]:[Tegevusala alanimetus]],4,FALSE)</f>
        <v>Haigete sotsiaalne kaitse</v>
      </c>
      <c r="S129" s="53"/>
      <c r="T129" s="53"/>
      <c r="U129" s="53">
        <f>Table1[[#This Row],[Summa]]+Table1[[#This Row],[I Muudatus]]+Table1[[#This Row],[II Muudatus]]</f>
        <v>700</v>
      </c>
    </row>
    <row r="130" spans="1:21" ht="14.25" hidden="1" customHeight="1" x14ac:dyDescent="0.25">
      <c r="A130" s="41" t="s">
        <v>1024</v>
      </c>
      <c r="B130" s="41">
        <v>7000</v>
      </c>
      <c r="C130" s="52">
        <v>4500</v>
      </c>
      <c r="D130" s="41" t="str">
        <f>LEFT(Table1[[#This Row],[Eelarvekonto]],2)</f>
        <v>45</v>
      </c>
      <c r="E130" s="41" t="str">
        <f>VLOOKUP(Table1[[#This Row],[Eelarvekonto]],Table5[[Konto]:[Konto nimetus]],2,FALSE)</f>
        <v>Antud sihtfinantseerimine tegevuskuludeks</v>
      </c>
      <c r="F130" s="41" t="s">
        <v>139</v>
      </c>
      <c r="G130" s="41" t="s">
        <v>24</v>
      </c>
      <c r="J130" s="41" t="s">
        <v>365</v>
      </c>
      <c r="K130" s="41" t="s">
        <v>364</v>
      </c>
      <c r="L130" s="58" t="s">
        <v>401</v>
      </c>
      <c r="M130" s="58" t="str">
        <f>LEFT(Table1[[#This Row],[Tegevusala kood]],2)</f>
        <v>10</v>
      </c>
      <c r="N130" s="41" t="str">
        <f>VLOOKUP(Table1[[#This Row],[Tegevusala kood]],Table4[[Tegevusala kood]:[Tegevusala alanimetus]],2,FALSE)</f>
        <v>Haigete sotsiaalne kaitse</v>
      </c>
      <c r="O130" s="41" t="s">
        <v>1</v>
      </c>
      <c r="P130" s="41" t="s">
        <v>1</v>
      </c>
      <c r="Q130" s="41" t="str">
        <f>VLOOKUP(Table1[[#This Row],[Eelarvekonto]],Table5[[Konto]:[Kontode alanimetus]],5,FALSE)</f>
        <v>Sihtotstarbelised toetused tegevuskuludeks</v>
      </c>
      <c r="R130" s="42" t="str">
        <f>VLOOKUP(Table1[[#This Row],[Tegevusala kood]],Table4[[Tegevusala kood]:[Tegevusala alanimetus]],4,FALSE)</f>
        <v>Haigete sotsiaalne kaitse</v>
      </c>
      <c r="S130" s="53"/>
      <c r="T130" s="53"/>
      <c r="U130" s="53">
        <f>Table1[[#This Row],[Summa]]+Table1[[#This Row],[I Muudatus]]+Table1[[#This Row],[II Muudatus]]</f>
        <v>7000</v>
      </c>
    </row>
    <row r="131" spans="1:21" ht="14.25" hidden="1" customHeight="1" x14ac:dyDescent="0.25">
      <c r="A131" s="41" t="s">
        <v>158</v>
      </c>
      <c r="B131" s="41">
        <v>100994.4</v>
      </c>
      <c r="C131" s="52">
        <v>506</v>
      </c>
      <c r="D131" s="52" t="str">
        <f>LEFT(Table1[[#This Row],[Eelarvekonto]],2)</f>
        <v>50</v>
      </c>
      <c r="E131" s="41" t="str">
        <f>VLOOKUP(Table1[[#This Row],[Eelarvekonto]],Table5[[Konto]:[Konto nimetus]],2,FALSE)</f>
        <v>Tööjõukuludega kaasnevad maksud ja sotsiaalkindlustusmaksed</v>
      </c>
      <c r="F131" s="41" t="s">
        <v>139</v>
      </c>
      <c r="G131" s="41" t="s">
        <v>24</v>
      </c>
      <c r="J131" s="41" t="s">
        <v>406</v>
      </c>
      <c r="K131" s="41" t="s">
        <v>405</v>
      </c>
      <c r="L131" s="58" t="s">
        <v>404</v>
      </c>
      <c r="M131" s="58" t="str">
        <f>LEFT(Table1[[#This Row],[Tegevusala kood]],2)</f>
        <v>01</v>
      </c>
      <c r="N131" s="41" t="str">
        <f>VLOOKUP(Table1[[#This Row],[Tegevusala kood]],Table4[[Tegevusala kood]:[Tegevusala alanimetus]],2,FALSE)</f>
        <v>Valla- ja linnavalitsus</v>
      </c>
      <c r="O131" s="41" t="s">
        <v>1</v>
      </c>
      <c r="P131" s="41" t="s">
        <v>1</v>
      </c>
      <c r="Q131" s="41" t="str">
        <f>VLOOKUP(Table1[[#This Row],[Eelarvekonto]],Table5[[Konto]:[Kontode alanimetus]],5,FALSE)</f>
        <v>Tööjõukulud</v>
      </c>
      <c r="R131" s="42" t="str">
        <f>VLOOKUP(Table1[[#This Row],[Tegevusala kood]],Table4[[Tegevusala kood]:[Tegevusala alanimetus]],4,FALSE)</f>
        <v>Valla- ja linnavalitsus</v>
      </c>
      <c r="S131" s="53"/>
      <c r="T131" s="53"/>
      <c r="U131" s="53">
        <f>Table1[[#This Row],[Summa]]+Table1[[#This Row],[I Muudatus]]+Table1[[#This Row],[II Muudatus]]</f>
        <v>100994.4</v>
      </c>
    </row>
    <row r="132" spans="1:21" ht="14.25" hidden="1" customHeight="1" x14ac:dyDescent="0.25">
      <c r="A132" s="41" t="s">
        <v>792</v>
      </c>
      <c r="B132" s="41">
        <v>1000</v>
      </c>
      <c r="C132" s="52">
        <v>601</v>
      </c>
      <c r="D132" s="52" t="str">
        <f>LEFT(Table1[[#This Row],[Eelarvekonto]],2)</f>
        <v>60</v>
      </c>
      <c r="E132" s="41" t="str">
        <f>VLOOKUP(Table1[[#This Row],[Eelarvekonto]],Table5[[Konto]:[Konto nimetus]],2,FALSE)</f>
        <v>MAKSU-, LÕIVU-, TRAHVIKULUD</v>
      </c>
      <c r="F132" s="41" t="s">
        <v>139</v>
      </c>
      <c r="G132" s="41" t="s">
        <v>24</v>
      </c>
      <c r="J132" s="41" t="s">
        <v>139</v>
      </c>
      <c r="K132" s="41" t="s">
        <v>54</v>
      </c>
      <c r="L132" s="58" t="s">
        <v>404</v>
      </c>
      <c r="M132" s="58" t="str">
        <f>LEFT(Table1[[#This Row],[Tegevusala kood]],2)</f>
        <v>01</v>
      </c>
      <c r="N132" s="41" t="str">
        <f>VLOOKUP(Table1[[#This Row],[Tegevusala kood]],Table4[[Tegevusala kood]:[Tegevusala alanimetus]],2,FALSE)</f>
        <v>Valla- ja linnavalitsus</v>
      </c>
      <c r="O132" s="41" t="s">
        <v>1</v>
      </c>
      <c r="P132" s="41" t="s">
        <v>1</v>
      </c>
      <c r="Q132" s="41" t="str">
        <f>VLOOKUP(Table1[[#This Row],[Eelarvekonto]],Table5[[Konto]:[Kontode alanimetus]],5,FALSE)</f>
        <v>Muud kulud</v>
      </c>
      <c r="R132" s="42" t="str">
        <f>VLOOKUP(Table1[[#This Row],[Tegevusala kood]],Table4[[Tegevusala kood]:[Tegevusala alanimetus]],4,FALSE)</f>
        <v>Valla- ja linnavalitsus</v>
      </c>
      <c r="S132" s="53"/>
      <c r="T132" s="53"/>
      <c r="U132" s="53">
        <f>Table1[[#This Row],[Summa]]+Table1[[#This Row],[I Muudatus]]+Table1[[#This Row],[II Muudatus]]</f>
        <v>1000</v>
      </c>
    </row>
    <row r="133" spans="1:21" ht="14.25" customHeight="1" x14ac:dyDescent="0.25">
      <c r="A133" s="41" t="s">
        <v>892</v>
      </c>
      <c r="B133" s="41">
        <v>25000</v>
      </c>
      <c r="C133" s="52">
        <v>1551</v>
      </c>
      <c r="D133" s="52" t="str">
        <f>LEFT(Table1[[#This Row],[Eelarvekonto]],2)</f>
        <v>15</v>
      </c>
      <c r="E133" s="41" t="str">
        <f>VLOOKUP(Table1[[#This Row],[Eelarvekonto]],Table5[[Konto]:[Konto nimetus]],2,FALSE)</f>
        <v>Hooned ja rajatised</v>
      </c>
      <c r="F133" s="41" t="s">
        <v>956</v>
      </c>
      <c r="G133" s="41" t="s">
        <v>891</v>
      </c>
      <c r="J133" s="41" t="s">
        <v>139</v>
      </c>
      <c r="K133" s="41" t="s">
        <v>54</v>
      </c>
      <c r="L133" s="58" t="s">
        <v>404</v>
      </c>
      <c r="M133" s="58" t="str">
        <f>LEFT(Table1[[#This Row],[Tegevusala kood]],2)</f>
        <v>01</v>
      </c>
      <c r="N133" s="41" t="str">
        <f>VLOOKUP(Table1[[#This Row],[Tegevusala kood]],Table4[[Tegevusala kood]:[Tegevusala alanimetus]],2,FALSE)</f>
        <v>Valla- ja linnavalitsus</v>
      </c>
      <c r="O133" s="41" t="s">
        <v>1</v>
      </c>
      <c r="P133" s="41" t="s">
        <v>1</v>
      </c>
      <c r="Q133" s="41" t="str">
        <f>VLOOKUP(Table1[[#This Row],[Eelarvekonto]],Table5[[Konto]:[Kontode alanimetus]],5,FALSE)</f>
        <v>Põhivara soetus (-)</v>
      </c>
      <c r="R133" s="42" t="str">
        <f>VLOOKUP(Table1[[#This Row],[Tegevusala kood]],Table4[[Tegevusala kood]:[Tegevusala alanimetus]],4,FALSE)</f>
        <v>Valla- ja linnavalitsus</v>
      </c>
      <c r="S133" s="53"/>
      <c r="T133" s="53"/>
      <c r="U133" s="53">
        <f>Table1[[#This Row],[Summa]]+Table1[[#This Row],[I Muudatus]]+Table1[[#This Row],[II Muudatus]]</f>
        <v>25000</v>
      </c>
    </row>
    <row r="134" spans="1:21" ht="14.25" customHeight="1" x14ac:dyDescent="0.25">
      <c r="A134" s="41" t="s">
        <v>1097</v>
      </c>
      <c r="B134" s="41">
        <v>100000</v>
      </c>
      <c r="C134" s="52">
        <v>1551</v>
      </c>
      <c r="D134" s="52" t="str">
        <f>LEFT(Table1[[#This Row],[Eelarvekonto]],2)</f>
        <v>15</v>
      </c>
      <c r="E134" s="41" t="str">
        <f>VLOOKUP(Table1[[#This Row],[Eelarvekonto]],Table5[[Konto]:[Konto nimetus]],2,FALSE)</f>
        <v>Hooned ja rajatised</v>
      </c>
      <c r="F134" s="41" t="s">
        <v>956</v>
      </c>
      <c r="G134" s="41" t="s">
        <v>891</v>
      </c>
      <c r="J134" s="41" t="s">
        <v>139</v>
      </c>
      <c r="K134" s="41" t="s">
        <v>54</v>
      </c>
      <c r="L134" s="58" t="s">
        <v>404</v>
      </c>
      <c r="M134" s="58" t="str">
        <f>LEFT(Table1[[#This Row],[Tegevusala kood]],2)</f>
        <v>01</v>
      </c>
      <c r="N134" s="41" t="str">
        <f>VLOOKUP(Table1[[#This Row],[Tegevusala kood]],Table4[[Tegevusala kood]:[Tegevusala alanimetus]],2,FALSE)</f>
        <v>Valla- ja linnavalitsus</v>
      </c>
      <c r="O134" s="41" t="s">
        <v>1</v>
      </c>
      <c r="P134" s="41" t="s">
        <v>1</v>
      </c>
      <c r="Q134" s="41" t="str">
        <f>VLOOKUP(Table1[[#This Row],[Eelarvekonto]],Table5[[Konto]:[Kontode alanimetus]],5,FALSE)</f>
        <v>Põhivara soetus (-)</v>
      </c>
      <c r="R134" s="42" t="str">
        <f>VLOOKUP(Table1[[#This Row],[Tegevusala kood]],Table4[[Tegevusala kood]:[Tegevusala alanimetus]],4,FALSE)</f>
        <v>Valla- ja linnavalitsus</v>
      </c>
      <c r="S134" s="53"/>
      <c r="T134" s="53"/>
      <c r="U134" s="53">
        <f>Table1[[#This Row],[Summa]]+Table1[[#This Row],[I Muudatus]]+Table1[[#This Row],[II Muudatus]]</f>
        <v>100000</v>
      </c>
    </row>
    <row r="135" spans="1:21" ht="14.25" customHeight="1" x14ac:dyDescent="0.25">
      <c r="A135" s="41" t="s">
        <v>1098</v>
      </c>
      <c r="B135" s="41">
        <v>30000</v>
      </c>
      <c r="C135" s="52">
        <v>1551</v>
      </c>
      <c r="D135" s="52" t="str">
        <f>LEFT(Table1[[#This Row],[Eelarvekonto]],2)</f>
        <v>15</v>
      </c>
      <c r="E135" s="41" t="str">
        <f>VLOOKUP(Table1[[#This Row],[Eelarvekonto]],Table5[[Konto]:[Konto nimetus]],2,FALSE)</f>
        <v>Hooned ja rajatised</v>
      </c>
      <c r="F135" s="41" t="s">
        <v>956</v>
      </c>
      <c r="G135" s="41" t="s">
        <v>891</v>
      </c>
      <c r="J135" s="41" t="s">
        <v>139</v>
      </c>
      <c r="K135" s="41" t="s">
        <v>54</v>
      </c>
      <c r="L135" s="58" t="s">
        <v>404</v>
      </c>
      <c r="M135" s="58" t="str">
        <f>LEFT(Table1[[#This Row],[Tegevusala kood]],2)</f>
        <v>01</v>
      </c>
      <c r="N135" s="41" t="str">
        <f>VLOOKUP(Table1[[#This Row],[Tegevusala kood]],Table4[[Tegevusala kood]:[Tegevusala alanimetus]],2,FALSE)</f>
        <v>Valla- ja linnavalitsus</v>
      </c>
      <c r="O135" s="41" t="s">
        <v>1</v>
      </c>
      <c r="P135" s="41" t="s">
        <v>1</v>
      </c>
      <c r="Q135" s="41" t="str">
        <f>VLOOKUP(Table1[[#This Row],[Eelarvekonto]],Table5[[Konto]:[Kontode alanimetus]],5,FALSE)</f>
        <v>Põhivara soetus (-)</v>
      </c>
      <c r="R135" s="42" t="str">
        <f>VLOOKUP(Table1[[#This Row],[Tegevusala kood]],Table4[[Tegevusala kood]:[Tegevusala alanimetus]],4,FALSE)</f>
        <v>Valla- ja linnavalitsus</v>
      </c>
      <c r="S135" s="53"/>
      <c r="T135" s="53"/>
      <c r="U135" s="53">
        <f>Table1[[#This Row],[Summa]]+Table1[[#This Row],[I Muudatus]]+Table1[[#This Row],[II Muudatus]]</f>
        <v>30000</v>
      </c>
    </row>
    <row r="136" spans="1:21" ht="14.25" hidden="1" customHeight="1" x14ac:dyDescent="0.25">
      <c r="A136" s="41" t="s">
        <v>682</v>
      </c>
      <c r="B136" s="41">
        <v>120</v>
      </c>
      <c r="C136" s="52">
        <v>4528</v>
      </c>
      <c r="D136" s="52" t="str">
        <f>LEFT(Table1[[#This Row],[Eelarvekonto]],2)</f>
        <v>45</v>
      </c>
      <c r="E136" s="41" t="str">
        <f>VLOOKUP(Table1[[#This Row],[Eelarvekonto]],Table5[[Konto]:[Konto nimetus]],2,FALSE)</f>
        <v>Liikmemaksud</v>
      </c>
      <c r="F136" s="41" t="s">
        <v>139</v>
      </c>
      <c r="G136" s="41" t="s">
        <v>24</v>
      </c>
      <c r="J136" s="41" t="s">
        <v>406</v>
      </c>
      <c r="K136" s="41" t="s">
        <v>405</v>
      </c>
      <c r="L136" s="58" t="s">
        <v>404</v>
      </c>
      <c r="M136" s="58" t="str">
        <f>LEFT(Table1[[#This Row],[Tegevusala kood]],2)</f>
        <v>01</v>
      </c>
      <c r="N136" s="41" t="str">
        <f>VLOOKUP(Table1[[#This Row],[Tegevusala kood]],Table4[[Tegevusala kood]:[Tegevusala alanimetus]],2,FALSE)</f>
        <v>Valla- ja linnavalitsus</v>
      </c>
      <c r="O136" s="41" t="s">
        <v>1</v>
      </c>
      <c r="P136" s="41" t="s">
        <v>1</v>
      </c>
      <c r="Q136" s="41" t="str">
        <f>VLOOKUP(Table1[[#This Row],[Eelarvekonto]],Table5[[Konto]:[Kontode alanimetus]],5,FALSE)</f>
        <v>Mittesihtotstarbelised toetused</v>
      </c>
      <c r="R136" s="42" t="str">
        <f>VLOOKUP(Table1[[#This Row],[Tegevusala kood]],Table4[[Tegevusala kood]:[Tegevusala alanimetus]],4,FALSE)</f>
        <v>Valla- ja linnavalitsus</v>
      </c>
      <c r="S136" s="53"/>
      <c r="T136" s="53"/>
      <c r="U136" s="53">
        <f>Table1[[#This Row],[Summa]]+Table1[[#This Row],[I Muudatus]]+Table1[[#This Row],[II Muudatus]]</f>
        <v>120</v>
      </c>
    </row>
    <row r="137" spans="1:21" ht="14.25" hidden="1" customHeight="1" x14ac:dyDescent="0.25">
      <c r="A137" s="41" t="s">
        <v>675</v>
      </c>
      <c r="B137" s="41">
        <v>90</v>
      </c>
      <c r="C137" s="52">
        <v>4528</v>
      </c>
      <c r="D137" s="68" t="str">
        <f>LEFT(Table1[[#This Row],[Eelarvekonto]],2)</f>
        <v>45</v>
      </c>
      <c r="E137" s="41" t="str">
        <f>VLOOKUP(Table1[[#This Row],[Eelarvekonto]],Table5[[Konto]:[Konto nimetus]],2,FALSE)</f>
        <v>Liikmemaksud</v>
      </c>
      <c r="F137" s="41" t="s">
        <v>139</v>
      </c>
      <c r="G137" s="41" t="s">
        <v>24</v>
      </c>
      <c r="J137" s="41" t="s">
        <v>406</v>
      </c>
      <c r="K137" s="41" t="s">
        <v>405</v>
      </c>
      <c r="L137" s="58" t="s">
        <v>404</v>
      </c>
      <c r="M137" s="58" t="str">
        <f>LEFT(Table1[[#This Row],[Tegevusala kood]],2)</f>
        <v>01</v>
      </c>
      <c r="N137" s="41" t="str">
        <f>VLOOKUP(Table1[[#This Row],[Tegevusala kood]],Table4[[Tegevusala kood]:[Tegevusala alanimetus]],2,FALSE)</f>
        <v>Valla- ja linnavalitsus</v>
      </c>
      <c r="O137" s="41" t="s">
        <v>1</v>
      </c>
      <c r="P137" s="41" t="s">
        <v>1</v>
      </c>
      <c r="Q137" s="41" t="str">
        <f>VLOOKUP(Table1[[#This Row],[Eelarvekonto]],Table5[[Konto]:[Kontode alanimetus]],5,FALSE)</f>
        <v>Mittesihtotstarbelised toetused</v>
      </c>
      <c r="R137" s="42" t="str">
        <f>VLOOKUP(Table1[[#This Row],[Tegevusala kood]],Table4[[Tegevusala kood]:[Tegevusala alanimetus]],4,FALSE)</f>
        <v>Valla- ja linnavalitsus</v>
      </c>
      <c r="S137" s="53"/>
      <c r="T137" s="53"/>
      <c r="U137" s="53">
        <f>Table1[[#This Row],[Summa]]+Table1[[#This Row],[I Muudatus]]+Table1[[#This Row],[II Muudatus]]</f>
        <v>90</v>
      </c>
    </row>
    <row r="138" spans="1:21" ht="14.25" hidden="1" customHeight="1" x14ac:dyDescent="0.25">
      <c r="A138" s="41" t="s">
        <v>761</v>
      </c>
      <c r="B138" s="41">
        <v>42000</v>
      </c>
      <c r="C138" s="52">
        <v>5000</v>
      </c>
      <c r="D138" s="52" t="str">
        <f>LEFT(Table1[[#This Row],[Eelarvekonto]],2)</f>
        <v>50</v>
      </c>
      <c r="E138" s="41" t="str">
        <f>VLOOKUP(Table1[[#This Row],[Eelarvekonto]],Table5[[Konto]:[Konto nimetus]],2,FALSE)</f>
        <v>Valitavate ametnike ja kõrgemate riigiteenijate töötasu</v>
      </c>
      <c r="F138" s="41" t="s">
        <v>139</v>
      </c>
      <c r="G138" s="41" t="s">
        <v>24</v>
      </c>
      <c r="J138" s="41" t="s">
        <v>139</v>
      </c>
      <c r="K138" s="41" t="s">
        <v>54</v>
      </c>
      <c r="L138" s="58" t="s">
        <v>404</v>
      </c>
      <c r="M138" s="58" t="str">
        <f>LEFT(Table1[[#This Row],[Tegevusala kood]],2)</f>
        <v>01</v>
      </c>
      <c r="N138" s="41" t="str">
        <f>VLOOKUP(Table1[[#This Row],[Tegevusala kood]],Table4[[Tegevusala kood]:[Tegevusala alanimetus]],2,FALSE)</f>
        <v>Valla- ja linnavalitsus</v>
      </c>
      <c r="O138" s="41" t="s">
        <v>1</v>
      </c>
      <c r="P138" s="41" t="s">
        <v>1</v>
      </c>
      <c r="Q138" s="41" t="str">
        <f>VLOOKUP(Table1[[#This Row],[Eelarvekonto]],Table5[[Konto]:[Kontode alanimetus]],5,FALSE)</f>
        <v>Tööjõukulud</v>
      </c>
      <c r="R138" s="42" t="str">
        <f>VLOOKUP(Table1[[#This Row],[Tegevusala kood]],Table4[[Tegevusala kood]:[Tegevusala alanimetus]],4,FALSE)</f>
        <v>Valla- ja linnavalitsus</v>
      </c>
      <c r="S138" s="53"/>
      <c r="T138" s="53"/>
      <c r="U138" s="53">
        <f>Table1[[#This Row],[Summa]]+Table1[[#This Row],[I Muudatus]]+Table1[[#This Row],[II Muudatus]]</f>
        <v>42000</v>
      </c>
    </row>
    <row r="139" spans="1:21" ht="14.25" hidden="1" customHeight="1" x14ac:dyDescent="0.25">
      <c r="A139" s="41" t="s">
        <v>758</v>
      </c>
      <c r="B139" s="41">
        <v>1320</v>
      </c>
      <c r="C139" s="52">
        <v>5000</v>
      </c>
      <c r="D139" s="52" t="str">
        <f>LEFT(Table1[[#This Row],[Eelarvekonto]],2)</f>
        <v>50</v>
      </c>
      <c r="E139" s="41" t="str">
        <f>VLOOKUP(Table1[[#This Row],[Eelarvekonto]],Table5[[Konto]:[Konto nimetus]],2,FALSE)</f>
        <v>Valitavate ametnike ja kõrgemate riigiteenijate töötasu</v>
      </c>
      <c r="F139" s="41" t="s">
        <v>139</v>
      </c>
      <c r="G139" s="41" t="s">
        <v>24</v>
      </c>
      <c r="J139" s="41" t="s">
        <v>139</v>
      </c>
      <c r="K139" s="41" t="s">
        <v>54</v>
      </c>
      <c r="L139" s="58" t="s">
        <v>404</v>
      </c>
      <c r="M139" s="58" t="str">
        <f>LEFT(Table1[[#This Row],[Tegevusala kood]],2)</f>
        <v>01</v>
      </c>
      <c r="N139" s="41" t="str">
        <f>VLOOKUP(Table1[[#This Row],[Tegevusala kood]],Table4[[Tegevusala kood]:[Tegevusala alanimetus]],2,FALSE)</f>
        <v>Valla- ja linnavalitsus</v>
      </c>
      <c r="O139" s="41" t="s">
        <v>1</v>
      </c>
      <c r="P139" s="41" t="s">
        <v>1</v>
      </c>
      <c r="Q139" s="41" t="str">
        <f>VLOOKUP(Table1[[#This Row],[Eelarvekonto]],Table5[[Konto]:[Kontode alanimetus]],5,FALSE)</f>
        <v>Tööjõukulud</v>
      </c>
      <c r="R139" s="42" t="str">
        <f>VLOOKUP(Table1[[#This Row],[Tegevusala kood]],Table4[[Tegevusala kood]:[Tegevusala alanimetus]],4,FALSE)</f>
        <v>Valla- ja linnavalitsus</v>
      </c>
      <c r="S139" s="53"/>
      <c r="T139" s="53"/>
      <c r="U139" s="53">
        <f>Table1[[#This Row],[Summa]]+Table1[[#This Row],[I Muudatus]]+Table1[[#This Row],[II Muudatus]]</f>
        <v>1320</v>
      </c>
    </row>
    <row r="140" spans="1:21" ht="14.25" hidden="1" customHeight="1" x14ac:dyDescent="0.25">
      <c r="A140" s="41" t="s">
        <v>757</v>
      </c>
      <c r="B140" s="41">
        <v>1320</v>
      </c>
      <c r="C140" s="52">
        <v>5000</v>
      </c>
      <c r="D140" s="52" t="str">
        <f>LEFT(Table1[[#This Row],[Eelarvekonto]],2)</f>
        <v>50</v>
      </c>
      <c r="E140" s="41" t="str">
        <f>VLOOKUP(Table1[[#This Row],[Eelarvekonto]],Table5[[Konto]:[Konto nimetus]],2,FALSE)</f>
        <v>Valitavate ametnike ja kõrgemate riigiteenijate töötasu</v>
      </c>
      <c r="F140" s="41" t="s">
        <v>139</v>
      </c>
      <c r="G140" s="41" t="s">
        <v>24</v>
      </c>
      <c r="J140" s="41" t="s">
        <v>139</v>
      </c>
      <c r="K140" s="41" t="s">
        <v>54</v>
      </c>
      <c r="L140" s="58" t="s">
        <v>404</v>
      </c>
      <c r="M140" s="58" t="str">
        <f>LEFT(Table1[[#This Row],[Tegevusala kood]],2)</f>
        <v>01</v>
      </c>
      <c r="N140" s="41" t="str">
        <f>VLOOKUP(Table1[[#This Row],[Tegevusala kood]],Table4[[Tegevusala kood]:[Tegevusala alanimetus]],2,FALSE)</f>
        <v>Valla- ja linnavalitsus</v>
      </c>
      <c r="O140" s="41" t="s">
        <v>1</v>
      </c>
      <c r="P140" s="41" t="s">
        <v>1</v>
      </c>
      <c r="Q140" s="41" t="str">
        <f>VLOOKUP(Table1[[#This Row],[Eelarvekonto]],Table5[[Konto]:[Kontode alanimetus]],5,FALSE)</f>
        <v>Tööjõukulud</v>
      </c>
      <c r="R140" s="42" t="str">
        <f>VLOOKUP(Table1[[#This Row],[Tegevusala kood]],Table4[[Tegevusala kood]:[Tegevusala alanimetus]],4,FALSE)</f>
        <v>Valla- ja linnavalitsus</v>
      </c>
      <c r="S140" s="53"/>
      <c r="T140" s="53"/>
      <c r="U140" s="53">
        <f>Table1[[#This Row],[Summa]]+Table1[[#This Row],[I Muudatus]]+Table1[[#This Row],[II Muudatus]]</f>
        <v>1320</v>
      </c>
    </row>
    <row r="141" spans="1:21" ht="14.25" hidden="1" customHeight="1" x14ac:dyDescent="0.25">
      <c r="A141" s="41" t="s">
        <v>756</v>
      </c>
      <c r="B141" s="41">
        <v>1320</v>
      </c>
      <c r="C141" s="52">
        <v>5000</v>
      </c>
      <c r="D141" s="52" t="str">
        <f>LEFT(Table1[[#This Row],[Eelarvekonto]],2)</f>
        <v>50</v>
      </c>
      <c r="E141" s="41" t="str">
        <f>VLOOKUP(Table1[[#This Row],[Eelarvekonto]],Table5[[Konto]:[Konto nimetus]],2,FALSE)</f>
        <v>Valitavate ametnike ja kõrgemate riigiteenijate töötasu</v>
      </c>
      <c r="F141" s="41" t="s">
        <v>139</v>
      </c>
      <c r="G141" s="41" t="s">
        <v>24</v>
      </c>
      <c r="J141" s="41" t="s">
        <v>139</v>
      </c>
      <c r="K141" s="41" t="s">
        <v>54</v>
      </c>
      <c r="L141" s="58" t="s">
        <v>404</v>
      </c>
      <c r="M141" s="58" t="str">
        <f>LEFT(Table1[[#This Row],[Tegevusala kood]],2)</f>
        <v>01</v>
      </c>
      <c r="N141" s="41" t="str">
        <f>VLOOKUP(Table1[[#This Row],[Tegevusala kood]],Table4[[Tegevusala kood]:[Tegevusala alanimetus]],2,FALSE)</f>
        <v>Valla- ja linnavalitsus</v>
      </c>
      <c r="O141" s="41" t="s">
        <v>1</v>
      </c>
      <c r="P141" s="41" t="s">
        <v>1</v>
      </c>
      <c r="Q141" s="41" t="str">
        <f>VLOOKUP(Table1[[#This Row],[Eelarvekonto]],Table5[[Konto]:[Kontode alanimetus]],5,FALSE)</f>
        <v>Tööjõukulud</v>
      </c>
      <c r="R141" s="42" t="str">
        <f>VLOOKUP(Table1[[#This Row],[Tegevusala kood]],Table4[[Tegevusala kood]:[Tegevusala alanimetus]],4,FALSE)</f>
        <v>Valla- ja linnavalitsus</v>
      </c>
      <c r="S141" s="53"/>
      <c r="T141" s="53"/>
      <c r="U141" s="53">
        <f>Table1[[#This Row],[Summa]]+Table1[[#This Row],[I Muudatus]]+Table1[[#This Row],[II Muudatus]]</f>
        <v>1320</v>
      </c>
    </row>
    <row r="142" spans="1:21" ht="14.25" hidden="1" customHeight="1" x14ac:dyDescent="0.25">
      <c r="A142" s="41" t="s">
        <v>679</v>
      </c>
      <c r="B142" s="41">
        <v>26400</v>
      </c>
      <c r="C142" s="52">
        <v>5001</v>
      </c>
      <c r="D142" s="41" t="str">
        <f>LEFT(Table1[[#This Row],[Eelarvekonto]],2)</f>
        <v>50</v>
      </c>
      <c r="E142" s="41" t="str">
        <f>VLOOKUP(Table1[[#This Row],[Eelarvekonto]],Table5[[Konto]:[Konto nimetus]],2,FALSE)</f>
        <v xml:space="preserve"> Avaliku teenistuse ametnike töötasu</v>
      </c>
      <c r="F142" s="41" t="s">
        <v>139</v>
      </c>
      <c r="G142" s="41" t="s">
        <v>24</v>
      </c>
      <c r="J142" s="41" t="s">
        <v>406</v>
      </c>
      <c r="K142" s="41" t="s">
        <v>405</v>
      </c>
      <c r="L142" s="58" t="s">
        <v>404</v>
      </c>
      <c r="M142" s="58" t="str">
        <f>LEFT(Table1[[#This Row],[Tegevusala kood]],2)</f>
        <v>01</v>
      </c>
      <c r="N142" s="41" t="str">
        <f>VLOOKUP(Table1[[#This Row],[Tegevusala kood]],Table4[[Tegevusala kood]:[Tegevusala alanimetus]],2,FALSE)</f>
        <v>Valla- ja linnavalitsus</v>
      </c>
      <c r="O142" s="41" t="s">
        <v>1</v>
      </c>
      <c r="P142" s="41" t="s">
        <v>1</v>
      </c>
      <c r="Q142" s="41" t="str">
        <f>VLOOKUP(Table1[[#This Row],[Eelarvekonto]],Table5[[Konto]:[Kontode alanimetus]],5,FALSE)</f>
        <v>Tööjõukulud</v>
      </c>
      <c r="R142" s="42" t="str">
        <f>VLOOKUP(Table1[[#This Row],[Tegevusala kood]],Table4[[Tegevusala kood]:[Tegevusala alanimetus]],4,FALSE)</f>
        <v>Valla- ja linnavalitsus</v>
      </c>
      <c r="S142" s="53"/>
      <c r="T142" s="53"/>
      <c r="U142" s="53">
        <f>Table1[[#This Row],[Summa]]+Table1[[#This Row],[I Muudatus]]+Table1[[#This Row],[II Muudatus]]</f>
        <v>26400</v>
      </c>
    </row>
    <row r="143" spans="1:21" ht="14.25" hidden="1" customHeight="1" x14ac:dyDescent="0.25">
      <c r="A143" s="41" t="s">
        <v>762</v>
      </c>
      <c r="B143" s="41">
        <v>69600</v>
      </c>
      <c r="C143" s="52">
        <v>5001</v>
      </c>
      <c r="D143" s="52" t="str">
        <f>LEFT(Table1[[#This Row],[Eelarvekonto]],2)</f>
        <v>50</v>
      </c>
      <c r="E143" s="41" t="str">
        <f>VLOOKUP(Table1[[#This Row],[Eelarvekonto]],Table5[[Konto]:[Konto nimetus]],2,FALSE)</f>
        <v xml:space="preserve"> Avaliku teenistuse ametnike töötasu</v>
      </c>
      <c r="F143" s="41" t="s">
        <v>139</v>
      </c>
      <c r="G143" s="41" t="s">
        <v>24</v>
      </c>
      <c r="J143" s="41" t="s">
        <v>139</v>
      </c>
      <c r="K143" s="41" t="s">
        <v>54</v>
      </c>
      <c r="L143" s="58" t="s">
        <v>404</v>
      </c>
      <c r="M143" s="58" t="str">
        <f>LEFT(Table1[[#This Row],[Tegevusala kood]],2)</f>
        <v>01</v>
      </c>
      <c r="N143" s="41" t="str">
        <f>VLOOKUP(Table1[[#This Row],[Tegevusala kood]],Table4[[Tegevusala kood]:[Tegevusala alanimetus]],2,FALSE)</f>
        <v>Valla- ja linnavalitsus</v>
      </c>
      <c r="O143" s="41" t="s">
        <v>1</v>
      </c>
      <c r="P143" s="41" t="s">
        <v>1</v>
      </c>
      <c r="Q143" s="41" t="str">
        <f>VLOOKUP(Table1[[#This Row],[Eelarvekonto]],Table5[[Konto]:[Kontode alanimetus]],5,FALSE)</f>
        <v>Tööjõukulud</v>
      </c>
      <c r="R143" s="42" t="str">
        <f>VLOOKUP(Table1[[#This Row],[Tegevusala kood]],Table4[[Tegevusala kood]:[Tegevusala alanimetus]],4,FALSE)</f>
        <v>Valla- ja linnavalitsus</v>
      </c>
      <c r="S143" s="53"/>
      <c r="T143" s="53"/>
      <c r="U143" s="53">
        <f>Table1[[#This Row],[Summa]]+Table1[[#This Row],[I Muudatus]]+Table1[[#This Row],[II Muudatus]]</f>
        <v>69600</v>
      </c>
    </row>
    <row r="144" spans="1:21" ht="14.25" hidden="1" customHeight="1" x14ac:dyDescent="0.25">
      <c r="A144" s="41" t="s">
        <v>1025</v>
      </c>
      <c r="B144" s="41">
        <v>27450</v>
      </c>
      <c r="C144" s="52">
        <v>4500</v>
      </c>
      <c r="D144" s="52" t="str">
        <f>LEFT(Table1[[#This Row],[Eelarvekonto]],2)</f>
        <v>45</v>
      </c>
      <c r="E144" s="41" t="str">
        <f>VLOOKUP(Table1[[#This Row],[Eelarvekonto]],Table5[[Konto]:[Konto nimetus]],2,FALSE)</f>
        <v>Antud sihtfinantseerimine tegevuskuludeks</v>
      </c>
      <c r="F144" s="41" t="s">
        <v>139</v>
      </c>
      <c r="G144" s="41" t="s">
        <v>24</v>
      </c>
      <c r="J144" s="41" t="s">
        <v>433</v>
      </c>
      <c r="K144" s="41" t="s">
        <v>432</v>
      </c>
      <c r="L144" s="58" t="s">
        <v>435</v>
      </c>
      <c r="M144" s="58" t="str">
        <f>LEFT(Table1[[#This Row],[Tegevusala kood]],2)</f>
        <v>08</v>
      </c>
      <c r="N144" s="41" t="str">
        <f>VLOOKUP(Table1[[#This Row],[Tegevusala kood]],Table4[[Tegevusala kood]:[Tegevusala alanimetus]],2,FALSE)</f>
        <v>Spordiseltside- ja klubide toetused MTÜ</v>
      </c>
      <c r="O144" s="41" t="s">
        <v>1</v>
      </c>
      <c r="P144" s="41" t="s">
        <v>1</v>
      </c>
      <c r="Q144" s="41" t="str">
        <f>VLOOKUP(Table1[[#This Row],[Eelarvekonto]],Table5[[Konto]:[Kontode alanimetus]],5,FALSE)</f>
        <v>Sihtotstarbelised toetused tegevuskuludeks</v>
      </c>
      <c r="R144" s="42" t="str">
        <f>VLOOKUP(Table1[[#This Row],[Tegevusala kood]],Table4[[Tegevusala kood]:[Tegevusala alanimetus]],4,FALSE)</f>
        <v>Sport</v>
      </c>
      <c r="S144" s="60"/>
      <c r="T144" s="53"/>
      <c r="U144" s="53">
        <f>Table1[[#This Row],[Summa]]+Table1[[#This Row],[I Muudatus]]+Table1[[#This Row],[II Muudatus]]</f>
        <v>27450</v>
      </c>
    </row>
    <row r="145" spans="1:21" ht="14.25" customHeight="1" x14ac:dyDescent="0.25">
      <c r="A145" s="41" t="s">
        <v>1026</v>
      </c>
      <c r="B145" s="41">
        <v>10000</v>
      </c>
      <c r="C145" s="52">
        <v>1551</v>
      </c>
      <c r="D145" s="52" t="str">
        <f>LEFT(Table1[[#This Row],[Eelarvekonto]],2)</f>
        <v>15</v>
      </c>
      <c r="E145" s="41" t="str">
        <f>VLOOKUP(Table1[[#This Row],[Eelarvekonto]],Table5[[Konto]:[Konto nimetus]],2,FALSE)</f>
        <v>Hooned ja rajatised</v>
      </c>
      <c r="F145" s="41" t="s">
        <v>956</v>
      </c>
      <c r="G145" s="41" t="s">
        <v>891</v>
      </c>
      <c r="J145" s="41" t="s">
        <v>726</v>
      </c>
      <c r="K145" s="41" t="s">
        <v>703</v>
      </c>
      <c r="L145" s="58" t="s">
        <v>944</v>
      </c>
      <c r="M145" s="58" t="str">
        <f>LEFT(Table1[[#This Row],[Tegevusala kood]],2)</f>
        <v>09</v>
      </c>
      <c r="N145" s="41" t="str">
        <f>VLOOKUP(Table1[[#This Row],[Tegevusala kood]],Table4[[Tegevusala kood]:[Tegevusala alanimetus]],2,FALSE)</f>
        <v>Noorte huviharidus ja huvitegevus</v>
      </c>
      <c r="O145" s="41" t="s">
        <v>1</v>
      </c>
      <c r="P145" s="41" t="s">
        <v>1</v>
      </c>
      <c r="Q145" s="41" t="str">
        <f>VLOOKUP(Table1[[#This Row],[Eelarvekonto]],Table5[[Konto]:[Kontode alanimetus]],5,FALSE)</f>
        <v>Põhivara soetus (-)</v>
      </c>
      <c r="R145" s="42" t="str">
        <f>VLOOKUP(Table1[[#This Row],[Tegevusala kood]],Table4[[Tegevusala kood]:[Tegevusala alanimetus]],4,FALSE)</f>
        <v>Noorte huviharidus ja huvitegevus</v>
      </c>
      <c r="S145" s="53"/>
      <c r="T145" s="53"/>
      <c r="U145" s="53">
        <f>Table1[[#This Row],[Summa]]+Table1[[#This Row],[I Muudatus]]+Table1[[#This Row],[II Muudatus]]</f>
        <v>10000</v>
      </c>
    </row>
    <row r="146" spans="1:21" ht="14.25" hidden="1" customHeight="1" x14ac:dyDescent="0.25">
      <c r="A146" s="41" t="s">
        <v>1027</v>
      </c>
      <c r="B146" s="41">
        <v>3500</v>
      </c>
      <c r="C146" s="52">
        <v>5511</v>
      </c>
      <c r="D146" s="52" t="str">
        <f>LEFT(Table1[[#This Row],[Eelarvekonto]],2)</f>
        <v>55</v>
      </c>
      <c r="E146" s="41" t="str">
        <f>VLOOKUP(Table1[[#This Row],[Eelarvekonto]],Table5[[Konto]:[Konto nimetus]],2,FALSE)</f>
        <v>Kinnistute, hoonete ja ruumide majandamiskulud</v>
      </c>
      <c r="F146" s="41" t="s">
        <v>139</v>
      </c>
      <c r="G146" s="41" t="s">
        <v>24</v>
      </c>
      <c r="J146" s="41" t="s">
        <v>320</v>
      </c>
      <c r="K146" s="41" t="s">
        <v>80</v>
      </c>
      <c r="L146" s="58" t="s">
        <v>333</v>
      </c>
      <c r="M146" s="58" t="str">
        <f>LEFT(Table1[[#This Row],[Tegevusala kood]],2)</f>
        <v>06</v>
      </c>
      <c r="N146" s="41" t="str">
        <f>VLOOKUP(Table1[[#This Row],[Tegevusala kood]],Table4[[Tegevusala kood]:[Tegevusala alanimetus]],2,FALSE)</f>
        <v>Saunad</v>
      </c>
      <c r="O146" s="41" t="s">
        <v>1</v>
      </c>
      <c r="P146" s="41" t="s">
        <v>1</v>
      </c>
      <c r="Q146" s="41" t="str">
        <f>VLOOKUP(Table1[[#This Row],[Eelarvekonto]],Table5[[Konto]:[Kontode alanimetus]],5,FALSE)</f>
        <v>Majandamiskulud</v>
      </c>
      <c r="R146" s="42" t="str">
        <f>VLOOKUP(Table1[[#This Row],[Tegevusala kood]],Table4[[Tegevusala kood]:[Tegevusala alanimetus]],4,FALSE)</f>
        <v>Muu elamu- ja kommunaalmajanduse tegevus</v>
      </c>
      <c r="S146" s="53"/>
      <c r="T146" s="53"/>
      <c r="U146" s="53">
        <f>Table1[[#This Row],[Summa]]+Table1[[#This Row],[I Muudatus]]+Table1[[#This Row],[II Muudatus]]</f>
        <v>3500</v>
      </c>
    </row>
    <row r="147" spans="1:21" ht="14.25" hidden="1" customHeight="1" x14ac:dyDescent="0.25">
      <c r="A147" s="41" t="s">
        <v>143</v>
      </c>
      <c r="B147" s="41">
        <v>600</v>
      </c>
      <c r="C147" s="52">
        <v>5511</v>
      </c>
      <c r="D147" s="52" t="str">
        <f>LEFT(Table1[[#This Row],[Eelarvekonto]],2)</f>
        <v>55</v>
      </c>
      <c r="E147" s="41" t="str">
        <f>VLOOKUP(Table1[[#This Row],[Eelarvekonto]],Table5[[Konto]:[Konto nimetus]],2,FALSE)</f>
        <v>Kinnistute, hoonete ja ruumide majandamiskulud</v>
      </c>
      <c r="F147" s="41" t="s">
        <v>139</v>
      </c>
      <c r="G147" s="41" t="s">
        <v>24</v>
      </c>
      <c r="J147" s="41" t="s">
        <v>320</v>
      </c>
      <c r="K147" s="41" t="s">
        <v>80</v>
      </c>
      <c r="L147" s="58" t="s">
        <v>333</v>
      </c>
      <c r="M147" s="58" t="str">
        <f>LEFT(Table1[[#This Row],[Tegevusala kood]],2)</f>
        <v>06</v>
      </c>
      <c r="N147" s="41" t="str">
        <f>VLOOKUP(Table1[[#This Row],[Tegevusala kood]],Table4[[Tegevusala kood]:[Tegevusala alanimetus]],2,FALSE)</f>
        <v>Saunad</v>
      </c>
      <c r="Q147" s="41" t="str">
        <f>VLOOKUP(Table1[[#This Row],[Eelarvekonto]],Table5[[Konto]:[Kontode alanimetus]],5,FALSE)</f>
        <v>Majandamiskulud</v>
      </c>
      <c r="R147" s="42" t="str">
        <f>VLOOKUP(Table1[[#This Row],[Tegevusala kood]],Table4[[Tegevusala kood]:[Tegevusala alanimetus]],4,FALSE)</f>
        <v>Muu elamu- ja kommunaalmajanduse tegevus</v>
      </c>
      <c r="S147" s="53"/>
      <c r="T147" s="53"/>
      <c r="U147" s="53">
        <f>Table1[[#This Row],[Summa]]+Table1[[#This Row],[I Muudatus]]+Table1[[#This Row],[II Muudatus]]</f>
        <v>600</v>
      </c>
    </row>
    <row r="148" spans="1:21" ht="14.25" hidden="1" customHeight="1" x14ac:dyDescent="0.25">
      <c r="A148" s="42" t="s">
        <v>150</v>
      </c>
      <c r="B148" s="42">
        <v>900</v>
      </c>
      <c r="C148" s="53">
        <v>551102</v>
      </c>
      <c r="D148" s="53" t="str">
        <f>LEFT(Table1[[#This Row],[Eelarvekonto]],2)</f>
        <v>55</v>
      </c>
      <c r="E148" s="42" t="str">
        <f>VLOOKUP(Table1[[#This Row],[Eelarvekonto]],Table5[[Konto]:[Konto nimetus]],2,FALSE)</f>
        <v>Vesi ja kanalisatsioon</v>
      </c>
      <c r="F148" s="42" t="s">
        <v>139</v>
      </c>
      <c r="G148" s="42" t="s">
        <v>24</v>
      </c>
      <c r="H148" s="42"/>
      <c r="I148" s="42"/>
      <c r="J148" s="42" t="s">
        <v>320</v>
      </c>
      <c r="K148" s="42" t="s">
        <v>80</v>
      </c>
      <c r="L148" s="62" t="s">
        <v>333</v>
      </c>
      <c r="M148" s="62" t="str">
        <f>LEFT(Table1[[#This Row],[Tegevusala kood]],2)</f>
        <v>06</v>
      </c>
      <c r="N148" s="42" t="str">
        <f>VLOOKUP(Table1[[#This Row],[Tegevusala kood]],Table4[[Tegevusala kood]:[Tegevusala alanimetus]],2,FALSE)</f>
        <v>Saunad</v>
      </c>
      <c r="O148" s="42" t="s">
        <v>1</v>
      </c>
      <c r="P148" s="42" t="s">
        <v>1</v>
      </c>
      <c r="Q148" s="42" t="str">
        <f>VLOOKUP(Table1[[#This Row],[Eelarvekonto]],Table5[[Konto]:[Kontode alanimetus]],5,FALSE)</f>
        <v>Majandamiskulud</v>
      </c>
      <c r="R148" s="42" t="str">
        <f>VLOOKUP(Table1[[#This Row],[Tegevusala kood]],Table4[[Tegevusala kood]:[Tegevusala alanimetus]],4,FALSE)</f>
        <v>Muu elamu- ja kommunaalmajanduse tegevus</v>
      </c>
      <c r="S148" s="53"/>
      <c r="T148" s="53"/>
      <c r="U148" s="53">
        <f>Table1[[#This Row],[Summa]]+Table1[[#This Row],[I Muudatus]]+Table1[[#This Row],[II Muudatus]]</f>
        <v>900</v>
      </c>
    </row>
    <row r="149" spans="1:21" ht="14.25" hidden="1" customHeight="1" x14ac:dyDescent="0.25">
      <c r="A149" s="41" t="s">
        <v>149</v>
      </c>
      <c r="B149" s="41">
        <v>1320</v>
      </c>
      <c r="C149" s="52">
        <v>551101</v>
      </c>
      <c r="D149" s="52" t="str">
        <f>LEFT(Table1[[#This Row],[Eelarvekonto]],2)</f>
        <v>55</v>
      </c>
      <c r="E149" s="41" t="str">
        <f>VLOOKUP(Table1[[#This Row],[Eelarvekonto]],Table5[[Konto]:[Konto nimetus]],2,FALSE)</f>
        <v>Elekter</v>
      </c>
      <c r="F149" s="41" t="s">
        <v>139</v>
      </c>
      <c r="G149" s="41" t="s">
        <v>24</v>
      </c>
      <c r="J149" s="41" t="s">
        <v>320</v>
      </c>
      <c r="K149" s="41" t="s">
        <v>80</v>
      </c>
      <c r="L149" s="58" t="s">
        <v>333</v>
      </c>
      <c r="M149" s="58" t="str">
        <f>LEFT(Table1[[#This Row],[Tegevusala kood]],2)</f>
        <v>06</v>
      </c>
      <c r="N149" s="41" t="str">
        <f>VLOOKUP(Table1[[#This Row],[Tegevusala kood]],Table4[[Tegevusala kood]:[Tegevusala alanimetus]],2,FALSE)</f>
        <v>Saunad</v>
      </c>
      <c r="O149" s="41" t="s">
        <v>1</v>
      </c>
      <c r="P149" s="41" t="s">
        <v>1</v>
      </c>
      <c r="Q149" s="41" t="str">
        <f>VLOOKUP(Table1[[#This Row],[Eelarvekonto]],Table5[[Konto]:[Kontode alanimetus]],5,FALSE)</f>
        <v>Majandamiskulud</v>
      </c>
      <c r="R149" s="42" t="str">
        <f>VLOOKUP(Table1[[#This Row],[Tegevusala kood]],Table4[[Tegevusala kood]:[Tegevusala alanimetus]],4,FALSE)</f>
        <v>Muu elamu- ja kommunaalmajanduse tegevus</v>
      </c>
      <c r="S149" s="53"/>
      <c r="T149" s="53"/>
      <c r="U149" s="53">
        <f>Table1[[#This Row],[Summa]]+Table1[[#This Row],[I Muudatus]]+Table1[[#This Row],[II Muudatus]]</f>
        <v>1320</v>
      </c>
    </row>
    <row r="150" spans="1:21" ht="14.25" hidden="1" customHeight="1" x14ac:dyDescent="0.25">
      <c r="A150" s="41" t="s">
        <v>158</v>
      </c>
      <c r="B150" s="41">
        <v>3198.16</v>
      </c>
      <c r="C150" s="52">
        <v>506</v>
      </c>
      <c r="D150" s="52" t="str">
        <f>LEFT(Table1[[#This Row],[Eelarvekonto]],2)</f>
        <v>50</v>
      </c>
      <c r="E150" s="41" t="str">
        <f>VLOOKUP(Table1[[#This Row],[Eelarvekonto]],Table5[[Konto]:[Konto nimetus]],2,FALSE)</f>
        <v>Tööjõukuludega kaasnevad maksud ja sotsiaalkindlustusmaksed</v>
      </c>
      <c r="F150" s="41" t="s">
        <v>139</v>
      </c>
      <c r="G150" s="41" t="s">
        <v>24</v>
      </c>
      <c r="J150" s="41" t="s">
        <v>320</v>
      </c>
      <c r="K150" s="41" t="s">
        <v>80</v>
      </c>
      <c r="L150" s="58" t="s">
        <v>333</v>
      </c>
      <c r="M150" s="58" t="str">
        <f>LEFT(Table1[[#This Row],[Tegevusala kood]],2)</f>
        <v>06</v>
      </c>
      <c r="N150" s="41" t="str">
        <f>VLOOKUP(Table1[[#This Row],[Tegevusala kood]],Table4[[Tegevusala kood]:[Tegevusala alanimetus]],2,FALSE)</f>
        <v>Saunad</v>
      </c>
      <c r="O150" s="41" t="s">
        <v>1</v>
      </c>
      <c r="P150" s="41" t="s">
        <v>1</v>
      </c>
      <c r="Q150" s="41" t="str">
        <f>VLOOKUP(Table1[[#This Row],[Eelarvekonto]],Table5[[Konto]:[Kontode alanimetus]],5,FALSE)</f>
        <v>Tööjõukulud</v>
      </c>
      <c r="R150" s="42" t="str">
        <f>VLOOKUP(Table1[[#This Row],[Tegevusala kood]],Table4[[Tegevusala kood]:[Tegevusala alanimetus]],4,FALSE)</f>
        <v>Muu elamu- ja kommunaalmajanduse tegevus</v>
      </c>
      <c r="S150" s="53"/>
      <c r="T150" s="53"/>
      <c r="U150" s="53">
        <f>Table1[[#This Row],[Summa]]+Table1[[#This Row],[I Muudatus]]+Table1[[#This Row],[II Muudatus]]</f>
        <v>3198.16</v>
      </c>
    </row>
    <row r="151" spans="1:21" ht="14.25" hidden="1" customHeight="1" x14ac:dyDescent="0.25">
      <c r="A151" s="41" t="s">
        <v>1028</v>
      </c>
      <c r="B151" s="41">
        <v>960</v>
      </c>
      <c r="C151" s="52">
        <v>5005</v>
      </c>
      <c r="D151" s="41" t="str">
        <f>LEFT(Table1[[#This Row],[Eelarvekonto]],2)</f>
        <v>50</v>
      </c>
      <c r="E151" s="41" t="str">
        <f>VLOOKUP(Table1[[#This Row],[Eelarvekonto]],Table5[[Konto]:[Konto nimetus]],2,FALSE)</f>
        <v>Töötasud võlaõiguslike lepingute alusel</v>
      </c>
      <c r="F151" s="41" t="s">
        <v>139</v>
      </c>
      <c r="G151" s="41" t="s">
        <v>24</v>
      </c>
      <c r="J151" s="41" t="s">
        <v>320</v>
      </c>
      <c r="K151" s="41" t="s">
        <v>80</v>
      </c>
      <c r="L151" s="58" t="s">
        <v>333</v>
      </c>
      <c r="M151" s="58" t="str">
        <f>LEFT(Table1[[#This Row],[Tegevusala kood]],2)</f>
        <v>06</v>
      </c>
      <c r="N151" s="41" t="str">
        <f>VLOOKUP(Table1[[#This Row],[Tegevusala kood]],Table4[[Tegevusala kood]:[Tegevusala alanimetus]],2,FALSE)</f>
        <v>Saunad</v>
      </c>
      <c r="O151" s="41" t="s">
        <v>1</v>
      </c>
      <c r="P151" s="41" t="s">
        <v>1</v>
      </c>
      <c r="Q151" s="41" t="str">
        <f>VLOOKUP(Table1[[#This Row],[Eelarvekonto]],Table5[[Konto]:[Kontode alanimetus]],5,FALSE)</f>
        <v>Tööjõukulud</v>
      </c>
      <c r="R151" s="42" t="str">
        <f>VLOOKUP(Table1[[#This Row],[Tegevusala kood]],Table4[[Tegevusala kood]:[Tegevusala alanimetus]],4,FALSE)</f>
        <v>Muu elamu- ja kommunaalmajanduse tegevus</v>
      </c>
      <c r="S151" s="53"/>
      <c r="T151" s="53"/>
      <c r="U151" s="53">
        <f>Table1[[#This Row],[Summa]]+Table1[[#This Row],[I Muudatus]]+Table1[[#This Row],[II Muudatus]]</f>
        <v>960</v>
      </c>
    </row>
    <row r="152" spans="1:21" ht="14.25" hidden="1" customHeight="1" x14ac:dyDescent="0.25">
      <c r="A152" s="41" t="s">
        <v>1029</v>
      </c>
      <c r="B152" s="41">
        <v>654</v>
      </c>
      <c r="C152" s="52">
        <v>5005</v>
      </c>
      <c r="D152" s="52" t="str">
        <f>LEFT(Table1[[#This Row],[Eelarvekonto]],2)</f>
        <v>50</v>
      </c>
      <c r="E152" s="41" t="str">
        <f>VLOOKUP(Table1[[#This Row],[Eelarvekonto]],Table5[[Konto]:[Konto nimetus]],2,FALSE)</f>
        <v>Töötasud võlaõiguslike lepingute alusel</v>
      </c>
      <c r="F152" s="41" t="s">
        <v>139</v>
      </c>
      <c r="G152" s="41" t="s">
        <v>24</v>
      </c>
      <c r="J152" s="41" t="s">
        <v>320</v>
      </c>
      <c r="K152" s="41" t="s">
        <v>80</v>
      </c>
      <c r="L152" s="58" t="s">
        <v>333</v>
      </c>
      <c r="M152" s="58" t="str">
        <f>LEFT(Table1[[#This Row],[Tegevusala kood]],2)</f>
        <v>06</v>
      </c>
      <c r="N152" s="41" t="str">
        <f>VLOOKUP(Table1[[#This Row],[Tegevusala kood]],Table4[[Tegevusala kood]:[Tegevusala alanimetus]],2,FALSE)</f>
        <v>Saunad</v>
      </c>
      <c r="O152" s="41" t="s">
        <v>1</v>
      </c>
      <c r="P152" s="41" t="s">
        <v>1</v>
      </c>
      <c r="Q152" s="41" t="str">
        <f>VLOOKUP(Table1[[#This Row],[Eelarvekonto]],Table5[[Konto]:[Kontode alanimetus]],5,FALSE)</f>
        <v>Tööjõukulud</v>
      </c>
      <c r="R152" s="42" t="str">
        <f>VLOOKUP(Table1[[#This Row],[Tegevusala kood]],Table4[[Tegevusala kood]:[Tegevusala alanimetus]],4,FALSE)</f>
        <v>Muu elamu- ja kommunaalmajanduse tegevus</v>
      </c>
      <c r="S152" s="53"/>
      <c r="T152" s="53"/>
      <c r="U152" s="53">
        <f>Table1[[#This Row],[Summa]]+Table1[[#This Row],[I Muudatus]]+Table1[[#This Row],[II Muudatus]]</f>
        <v>654</v>
      </c>
    </row>
    <row r="153" spans="1:21" ht="14.25" hidden="1" customHeight="1" x14ac:dyDescent="0.25">
      <c r="A153" s="107" t="s">
        <v>598</v>
      </c>
      <c r="B153" s="107">
        <v>7848</v>
      </c>
      <c r="C153" s="108">
        <v>5002</v>
      </c>
      <c r="D153" s="108" t="str">
        <f>LEFT(Table1[[#This Row],[Eelarvekonto]],2)</f>
        <v>50</v>
      </c>
      <c r="E153" s="107" t="str">
        <f>VLOOKUP(Table1[[#This Row],[Eelarvekonto]],Table5[[Konto]:[Konto nimetus]],2,FALSE)</f>
        <v>Töötajate töötasud</v>
      </c>
      <c r="F153" s="107" t="s">
        <v>139</v>
      </c>
      <c r="G153" s="107" t="s">
        <v>24</v>
      </c>
      <c r="H153" s="107"/>
      <c r="I153" s="107"/>
      <c r="J153" s="107" t="s">
        <v>320</v>
      </c>
      <c r="K153" s="107" t="s">
        <v>80</v>
      </c>
      <c r="L153" s="109" t="s">
        <v>333</v>
      </c>
      <c r="M153" s="109" t="str">
        <f>LEFT(Table1[[#This Row],[Tegevusala kood]],2)</f>
        <v>06</v>
      </c>
      <c r="N153" s="107" t="str">
        <f>VLOOKUP(Table1[[#This Row],[Tegevusala kood]],Table4[[Tegevusala kood]:[Tegevusala alanimetus]],2,FALSE)</f>
        <v>Saunad</v>
      </c>
      <c r="O153" s="107" t="s">
        <v>1</v>
      </c>
      <c r="P153" s="107" t="s">
        <v>1</v>
      </c>
      <c r="Q153" s="107" t="str">
        <f>VLOOKUP(Table1[[#This Row],[Eelarvekonto]],Table5[[Konto]:[Kontode alanimetus]],5,FALSE)</f>
        <v>Tööjõukulud</v>
      </c>
      <c r="R153" s="107" t="str">
        <f>VLOOKUP(Table1[[#This Row],[Tegevusala kood]],Table4[[Tegevusala kood]:[Tegevusala alanimetus]],4,FALSE)</f>
        <v>Muu elamu- ja kommunaalmajanduse tegevus</v>
      </c>
      <c r="S153" s="108"/>
      <c r="T153" s="108"/>
      <c r="U153" s="108">
        <f>Table1[[#This Row],[Summa]]+Table1[[#This Row],[I Muudatus]]+Table1[[#This Row],[II Muudatus]]</f>
        <v>7848</v>
      </c>
    </row>
    <row r="154" spans="1:21" ht="14.25" hidden="1" customHeight="1" x14ac:dyDescent="0.25">
      <c r="A154" s="41" t="s">
        <v>253</v>
      </c>
      <c r="B154" s="41">
        <v>480</v>
      </c>
      <c r="C154" s="52">
        <v>551300</v>
      </c>
      <c r="D154" s="52" t="str">
        <f>LEFT(Table1[[#This Row],[Eelarvekonto]],2)</f>
        <v>55</v>
      </c>
      <c r="E154" s="41" t="str">
        <f>VLOOKUP(Table1[[#This Row],[Eelarvekonto]],Table5[[Konto]:[Konto nimetus]],2,FALSE)</f>
        <v>Kütus</v>
      </c>
      <c r="F154" s="41" t="s">
        <v>139</v>
      </c>
      <c r="G154" s="41" t="s">
        <v>24</v>
      </c>
      <c r="J154" s="41" t="s">
        <v>139</v>
      </c>
      <c r="K154" s="41" t="s">
        <v>54</v>
      </c>
      <c r="L154" s="58" t="s">
        <v>447</v>
      </c>
      <c r="M154" s="58" t="str">
        <f>LEFT(Table1[[#This Row],[Tegevusala kood]],2)</f>
        <v>03</v>
      </c>
      <c r="N154" s="41" t="str">
        <f>VLOOKUP(Table1[[#This Row],[Tegevusala kood]],Table4[[Tegevusala kood]:[Tegevusala alanimetus]],2,FALSE)</f>
        <v>Päästeteenused</v>
      </c>
      <c r="O154" s="41" t="s">
        <v>1</v>
      </c>
      <c r="P154" s="41" t="s">
        <v>1</v>
      </c>
      <c r="Q154" s="41" t="str">
        <f>VLOOKUP(Table1[[#This Row],[Eelarvekonto]],Table5[[Konto]:[Kontode alanimetus]],5,FALSE)</f>
        <v>Majandamiskulud</v>
      </c>
      <c r="R154" s="42" t="str">
        <f>VLOOKUP(Table1[[#This Row],[Tegevusala kood]],Table4[[Tegevusala kood]:[Tegevusala alanimetus]],4,FALSE)</f>
        <v>Päästeteenused</v>
      </c>
      <c r="S154" s="53"/>
      <c r="T154" s="53"/>
      <c r="U154" s="53">
        <f>Table1[[#This Row],[Summa]]+Table1[[#This Row],[I Muudatus]]+Table1[[#This Row],[II Muudatus]]</f>
        <v>480</v>
      </c>
    </row>
    <row r="155" spans="1:21" ht="14.25" hidden="1" customHeight="1" x14ac:dyDescent="0.25">
      <c r="A155" s="41" t="s">
        <v>149</v>
      </c>
      <c r="B155" s="41">
        <v>1700</v>
      </c>
      <c r="C155" s="52">
        <v>551101</v>
      </c>
      <c r="D155" s="68" t="str">
        <f>LEFT(Table1[[#This Row],[Eelarvekonto]],2)</f>
        <v>55</v>
      </c>
      <c r="E155" s="41" t="str">
        <f>VLOOKUP(Table1[[#This Row],[Eelarvekonto]],Table5[[Konto]:[Konto nimetus]],2,FALSE)</f>
        <v>Elekter</v>
      </c>
      <c r="F155" s="41" t="s">
        <v>139</v>
      </c>
      <c r="G155" s="41" t="s">
        <v>24</v>
      </c>
      <c r="J155" s="41" t="s">
        <v>139</v>
      </c>
      <c r="K155" s="41" t="s">
        <v>54</v>
      </c>
      <c r="L155" s="58" t="s">
        <v>447</v>
      </c>
      <c r="M155" s="58" t="str">
        <f>LEFT(Table1[[#This Row],[Tegevusala kood]],2)</f>
        <v>03</v>
      </c>
      <c r="N155" s="41" t="str">
        <f>VLOOKUP(Table1[[#This Row],[Tegevusala kood]],Table4[[Tegevusala kood]:[Tegevusala alanimetus]],2,FALSE)</f>
        <v>Päästeteenused</v>
      </c>
      <c r="O155" s="41" t="s">
        <v>1</v>
      </c>
      <c r="P155" s="41" t="s">
        <v>1</v>
      </c>
      <c r="Q155" s="41" t="str">
        <f>VLOOKUP(Table1[[#This Row],[Eelarvekonto]],Table5[[Konto]:[Kontode alanimetus]],5,FALSE)</f>
        <v>Majandamiskulud</v>
      </c>
      <c r="R155" s="42" t="str">
        <f>VLOOKUP(Table1[[#This Row],[Tegevusala kood]],Table4[[Tegevusala kood]:[Tegevusala alanimetus]],4,FALSE)</f>
        <v>Päästeteenused</v>
      </c>
      <c r="S155" s="53"/>
      <c r="T155" s="53"/>
      <c r="U155" s="53">
        <f>Table1[[#This Row],[Summa]]+Table1[[#This Row],[I Muudatus]]+Table1[[#This Row],[II Muudatus]]</f>
        <v>1700</v>
      </c>
    </row>
    <row r="156" spans="1:21" ht="14.25" hidden="1" customHeight="1" x14ac:dyDescent="0.25">
      <c r="A156" s="41" t="s">
        <v>158</v>
      </c>
      <c r="B156" s="41">
        <v>1030.7</v>
      </c>
      <c r="C156" s="52">
        <v>506</v>
      </c>
      <c r="D156" s="68" t="str">
        <f>LEFT(Table1[[#This Row],[Eelarvekonto]],2)</f>
        <v>50</v>
      </c>
      <c r="E156" s="41" t="str">
        <f>VLOOKUP(Table1[[#This Row],[Eelarvekonto]],Table5[[Konto]:[Konto nimetus]],2,FALSE)</f>
        <v>Tööjõukuludega kaasnevad maksud ja sotsiaalkindlustusmaksed</v>
      </c>
      <c r="F156" s="41" t="s">
        <v>139</v>
      </c>
      <c r="G156" s="41" t="s">
        <v>24</v>
      </c>
      <c r="J156" s="41" t="s">
        <v>139</v>
      </c>
      <c r="K156" s="41" t="s">
        <v>54</v>
      </c>
      <c r="L156" s="58" t="s">
        <v>447</v>
      </c>
      <c r="M156" s="58" t="str">
        <f>LEFT(Table1[[#This Row],[Tegevusala kood]],2)</f>
        <v>03</v>
      </c>
      <c r="N156" s="41" t="str">
        <f>VLOOKUP(Table1[[#This Row],[Tegevusala kood]],Table4[[Tegevusala kood]:[Tegevusala alanimetus]],2,FALSE)</f>
        <v>Päästeteenused</v>
      </c>
      <c r="O156" s="41" t="s">
        <v>1</v>
      </c>
      <c r="P156" s="41" t="s">
        <v>1</v>
      </c>
      <c r="Q156" s="41" t="str">
        <f>VLOOKUP(Table1[[#This Row],[Eelarvekonto]],Table5[[Konto]:[Kontode alanimetus]],5,FALSE)</f>
        <v>Tööjõukulud</v>
      </c>
      <c r="R156" s="42" t="str">
        <f>VLOOKUP(Table1[[#This Row],[Tegevusala kood]],Table4[[Tegevusala kood]:[Tegevusala alanimetus]],4,FALSE)</f>
        <v>Päästeteenused</v>
      </c>
      <c r="S156" s="53"/>
      <c r="T156" s="53"/>
      <c r="U156" s="53">
        <f>Table1[[#This Row],[Summa]]+Table1[[#This Row],[I Muudatus]]+Table1[[#This Row],[II Muudatus]]</f>
        <v>1030.7</v>
      </c>
    </row>
    <row r="157" spans="1:21" ht="14.25" hidden="1" customHeight="1" x14ac:dyDescent="0.25">
      <c r="A157" s="41" t="s">
        <v>156</v>
      </c>
      <c r="B157" s="41">
        <v>1405.8</v>
      </c>
      <c r="C157" s="52">
        <v>5005</v>
      </c>
      <c r="D157" s="68" t="str">
        <f>LEFT(Table1[[#This Row],[Eelarvekonto]],2)</f>
        <v>50</v>
      </c>
      <c r="E157" s="41" t="str">
        <f>VLOOKUP(Table1[[#This Row],[Eelarvekonto]],Table5[[Konto]:[Konto nimetus]],2,FALSE)</f>
        <v>Töötasud võlaõiguslike lepingute alusel</v>
      </c>
      <c r="F157" s="41" t="s">
        <v>139</v>
      </c>
      <c r="G157" s="41" t="s">
        <v>24</v>
      </c>
      <c r="J157" s="41" t="s">
        <v>139</v>
      </c>
      <c r="K157" s="41" t="s">
        <v>54</v>
      </c>
      <c r="L157" s="58" t="s">
        <v>447</v>
      </c>
      <c r="M157" s="58" t="str">
        <f>LEFT(Table1[[#This Row],[Tegevusala kood]],2)</f>
        <v>03</v>
      </c>
      <c r="N157" s="41" t="str">
        <f>VLOOKUP(Table1[[#This Row],[Tegevusala kood]],Table4[[Tegevusala kood]:[Tegevusala alanimetus]],2,FALSE)</f>
        <v>Päästeteenused</v>
      </c>
      <c r="O157" s="41" t="s">
        <v>1</v>
      </c>
      <c r="P157" s="41" t="s">
        <v>1</v>
      </c>
      <c r="Q157" s="41" t="str">
        <f>VLOOKUP(Table1[[#This Row],[Eelarvekonto]],Table5[[Konto]:[Kontode alanimetus]],5,FALSE)</f>
        <v>Tööjõukulud</v>
      </c>
      <c r="R157" s="42" t="str">
        <f>VLOOKUP(Table1[[#This Row],[Tegevusala kood]],Table4[[Tegevusala kood]:[Tegevusala alanimetus]],4,FALSE)</f>
        <v>Päästeteenused</v>
      </c>
      <c r="S157" s="53"/>
      <c r="T157" s="53"/>
      <c r="U157" s="53">
        <f>Table1[[#This Row],[Summa]]+Table1[[#This Row],[I Muudatus]]+Table1[[#This Row],[II Muudatus]]</f>
        <v>1405.8</v>
      </c>
    </row>
    <row r="158" spans="1:21" ht="14.25" hidden="1" customHeight="1" x14ac:dyDescent="0.25">
      <c r="A158" s="41" t="s">
        <v>156</v>
      </c>
      <c r="B158" s="41">
        <v>1643.6</v>
      </c>
      <c r="C158" s="52">
        <v>5005</v>
      </c>
      <c r="D158" s="68" t="str">
        <f>LEFT(Table1[[#This Row],[Eelarvekonto]],2)</f>
        <v>50</v>
      </c>
      <c r="E158" s="41" t="str">
        <f>VLOOKUP(Table1[[#This Row],[Eelarvekonto]],Table5[[Konto]:[Konto nimetus]],2,FALSE)</f>
        <v>Töötasud võlaõiguslike lepingute alusel</v>
      </c>
      <c r="F158" s="41" t="s">
        <v>139</v>
      </c>
      <c r="G158" s="41" t="s">
        <v>24</v>
      </c>
      <c r="J158" s="41" t="s">
        <v>139</v>
      </c>
      <c r="K158" s="41" t="s">
        <v>54</v>
      </c>
      <c r="L158" s="58" t="s">
        <v>447</v>
      </c>
      <c r="M158" s="58" t="str">
        <f>LEFT(Table1[[#This Row],[Tegevusala kood]],2)</f>
        <v>03</v>
      </c>
      <c r="N158" s="41" t="str">
        <f>VLOOKUP(Table1[[#This Row],[Tegevusala kood]],Table4[[Tegevusala kood]:[Tegevusala alanimetus]],2,FALSE)</f>
        <v>Päästeteenused</v>
      </c>
      <c r="O158" s="41" t="s">
        <v>1</v>
      </c>
      <c r="P158" s="41" t="s">
        <v>1</v>
      </c>
      <c r="Q158" s="41" t="str">
        <f>VLOOKUP(Table1[[#This Row],[Eelarvekonto]],Table5[[Konto]:[Kontode alanimetus]],5,FALSE)</f>
        <v>Tööjõukulud</v>
      </c>
      <c r="R158" s="42" t="str">
        <f>VLOOKUP(Table1[[#This Row],[Tegevusala kood]],Table4[[Tegevusala kood]:[Tegevusala alanimetus]],4,FALSE)</f>
        <v>Päästeteenused</v>
      </c>
      <c r="S158" s="53"/>
      <c r="T158" s="53"/>
      <c r="U158" s="53">
        <f>Table1[[#This Row],[Summa]]+Table1[[#This Row],[I Muudatus]]+Table1[[#This Row],[II Muudatus]]</f>
        <v>1643.6</v>
      </c>
    </row>
    <row r="159" spans="1:21" ht="14.25" hidden="1" customHeight="1" x14ac:dyDescent="0.25">
      <c r="A159" s="42" t="s">
        <v>1030</v>
      </c>
      <c r="B159" s="42">
        <v>100</v>
      </c>
      <c r="C159" s="53">
        <v>601</v>
      </c>
      <c r="D159" s="53" t="str">
        <f>LEFT(Table1[[#This Row],[Eelarvekonto]],2)</f>
        <v>60</v>
      </c>
      <c r="E159" s="42" t="str">
        <f>VLOOKUP(Table1[[#This Row],[Eelarvekonto]],Table5[[Konto]:[Konto nimetus]],2,FALSE)</f>
        <v>MAKSU-, LÕIVU-, TRAHVIKULUD</v>
      </c>
      <c r="F159" s="42" t="s">
        <v>139</v>
      </c>
      <c r="G159" s="42" t="s">
        <v>24</v>
      </c>
      <c r="H159" s="57"/>
      <c r="I159" s="57"/>
      <c r="J159" s="42" t="s">
        <v>409</v>
      </c>
      <c r="K159" s="42" t="s">
        <v>408</v>
      </c>
      <c r="L159" s="42" t="s">
        <v>688</v>
      </c>
      <c r="M159" s="42" t="str">
        <f>LEFT(Table1[[#This Row],[Tegevusala kood]],2)</f>
        <v>06</v>
      </c>
      <c r="N159" s="42" t="str">
        <f>VLOOKUP(Table1[[#This Row],[Tegevusala kood]],Table4[[Tegevusala kood]:[Tegevusala alanimetus]],2,FALSE)</f>
        <v>Tänavavalgustus</v>
      </c>
      <c r="O159" s="42" t="s">
        <v>1</v>
      </c>
      <c r="P159" s="42" t="s">
        <v>1</v>
      </c>
      <c r="Q159" s="42" t="str">
        <f>VLOOKUP(Table1[[#This Row],[Eelarvekonto]],Table5[[Konto]:[Kontode alanimetus]],5,FALSE)</f>
        <v>Muud kulud</v>
      </c>
      <c r="R159" s="42" t="str">
        <f>VLOOKUP(Table1[[#This Row],[Tegevusala kood]],Table4[[Tegevusala kood]:[Tegevusala alanimetus]],4,FALSE)</f>
        <v>Tänavavalgustus</v>
      </c>
      <c r="S159" s="53"/>
      <c r="T159" s="53"/>
      <c r="U159" s="53">
        <f>Table1[[#This Row],[Summa]]+Table1[[#This Row],[I Muudatus]]+Table1[[#This Row],[II Muudatus]]</f>
        <v>100</v>
      </c>
    </row>
    <row r="160" spans="1:21" ht="14.25" hidden="1" customHeight="1" x14ac:dyDescent="0.25">
      <c r="A160" s="41" t="s">
        <v>690</v>
      </c>
      <c r="B160" s="41">
        <v>20000</v>
      </c>
      <c r="C160" s="52">
        <v>5512</v>
      </c>
      <c r="D160" s="52" t="str">
        <f>LEFT(Table1[[#This Row],[Eelarvekonto]],2)</f>
        <v>55</v>
      </c>
      <c r="E160" s="41" t="str">
        <f>VLOOKUP(Table1[[#This Row],[Eelarvekonto]],Table5[[Konto]:[Konto nimetus]],2,FALSE)</f>
        <v>Rajatiste majandamiskulud</v>
      </c>
      <c r="F160" s="41" t="s">
        <v>139</v>
      </c>
      <c r="G160" s="41" t="s">
        <v>24</v>
      </c>
      <c r="J160" s="41" t="s">
        <v>409</v>
      </c>
      <c r="K160" s="41" t="s">
        <v>408</v>
      </c>
      <c r="L160" s="58" t="s">
        <v>688</v>
      </c>
      <c r="M160" s="58" t="str">
        <f>LEFT(Table1[[#This Row],[Tegevusala kood]],2)</f>
        <v>06</v>
      </c>
      <c r="N160" s="41" t="str">
        <f>VLOOKUP(Table1[[#This Row],[Tegevusala kood]],Table4[[Tegevusala kood]:[Tegevusala alanimetus]],2,FALSE)</f>
        <v>Tänavavalgustus</v>
      </c>
      <c r="O160" s="41" t="s">
        <v>1</v>
      </c>
      <c r="P160" s="41" t="s">
        <v>1</v>
      </c>
      <c r="Q160" s="41" t="str">
        <f>VLOOKUP(Table1[[#This Row],[Eelarvekonto]],Table5[[Konto]:[Kontode alanimetus]],5,FALSE)</f>
        <v>Majandamiskulud</v>
      </c>
      <c r="R160" s="42" t="str">
        <f>VLOOKUP(Table1[[#This Row],[Tegevusala kood]],Table4[[Tegevusala kood]:[Tegevusala alanimetus]],4,FALSE)</f>
        <v>Tänavavalgustus</v>
      </c>
      <c r="S160" s="53"/>
      <c r="T160" s="53"/>
      <c r="U160" s="53">
        <f>Table1[[#This Row],[Summa]]+Table1[[#This Row],[I Muudatus]]+Table1[[#This Row],[II Muudatus]]</f>
        <v>20000</v>
      </c>
    </row>
    <row r="161" spans="1:21" ht="14.25" hidden="1" customHeight="1" x14ac:dyDescent="0.25">
      <c r="A161" s="41" t="s">
        <v>689</v>
      </c>
      <c r="B161" s="41">
        <v>31000</v>
      </c>
      <c r="C161" s="52">
        <v>5512</v>
      </c>
      <c r="D161" s="52" t="str">
        <f>LEFT(Table1[[#This Row],[Eelarvekonto]],2)</f>
        <v>55</v>
      </c>
      <c r="E161" s="41" t="str">
        <f>VLOOKUP(Table1[[#This Row],[Eelarvekonto]],Table5[[Konto]:[Konto nimetus]],2,FALSE)</f>
        <v>Rajatiste majandamiskulud</v>
      </c>
      <c r="F161" s="41" t="s">
        <v>139</v>
      </c>
      <c r="G161" s="41" t="s">
        <v>24</v>
      </c>
      <c r="J161" s="41" t="s">
        <v>409</v>
      </c>
      <c r="K161" s="41" t="s">
        <v>408</v>
      </c>
      <c r="L161" s="58" t="s">
        <v>688</v>
      </c>
      <c r="M161" s="58" t="str">
        <f>LEFT(Table1[[#This Row],[Tegevusala kood]],2)</f>
        <v>06</v>
      </c>
      <c r="N161" s="41" t="str">
        <f>VLOOKUP(Table1[[#This Row],[Tegevusala kood]],Table4[[Tegevusala kood]:[Tegevusala alanimetus]],2,FALSE)</f>
        <v>Tänavavalgustus</v>
      </c>
      <c r="O161" s="41" t="s">
        <v>1</v>
      </c>
      <c r="P161" s="41" t="s">
        <v>1</v>
      </c>
      <c r="Q161" s="41" t="str">
        <f>VLOOKUP(Table1[[#This Row],[Eelarvekonto]],Table5[[Konto]:[Kontode alanimetus]],5,FALSE)</f>
        <v>Majandamiskulud</v>
      </c>
      <c r="R161" s="42" t="str">
        <f>VLOOKUP(Table1[[#This Row],[Tegevusala kood]],Table4[[Tegevusala kood]:[Tegevusala alanimetus]],4,FALSE)</f>
        <v>Tänavavalgustus</v>
      </c>
      <c r="S161" s="53"/>
      <c r="T161" s="53"/>
      <c r="U161" s="53">
        <f>Table1[[#This Row],[Summa]]+Table1[[#This Row],[I Muudatus]]+Table1[[#This Row],[II Muudatus]]</f>
        <v>31000</v>
      </c>
    </row>
    <row r="162" spans="1:21" ht="14.25" hidden="1" customHeight="1" x14ac:dyDescent="0.25">
      <c r="A162" s="41" t="s">
        <v>655</v>
      </c>
      <c r="B162" s="41">
        <v>120000</v>
      </c>
      <c r="C162" s="52">
        <v>5526</v>
      </c>
      <c r="D162" s="52" t="str">
        <f>LEFT(Table1[[#This Row],[Eelarvekonto]],2)</f>
        <v>55</v>
      </c>
      <c r="E162" s="41" t="str">
        <f>VLOOKUP(Table1[[#This Row],[Eelarvekonto]],Table5[[Konto]:[Konto nimetus]],2,FALSE)</f>
        <v>Sotsiaalteenused</v>
      </c>
      <c r="F162" s="41" t="s">
        <v>139</v>
      </c>
      <c r="G162" s="41" t="s">
        <v>24</v>
      </c>
      <c r="J162" s="41" t="s">
        <v>365</v>
      </c>
      <c r="K162" s="41" t="s">
        <v>364</v>
      </c>
      <c r="L162" s="58" t="s">
        <v>654</v>
      </c>
      <c r="M162" s="58" t="str">
        <f>LEFT(Table1[[#This Row],[Tegevusala kood]],2)</f>
        <v>10</v>
      </c>
      <c r="N162" s="41" t="str">
        <f>VLOOKUP(Table1[[#This Row],[Tegevusala kood]],Table4[[Tegevusala kood]:[Tegevusala alanimetus]],2,FALSE)</f>
        <v>Muud asutused</v>
      </c>
      <c r="O162" s="41" t="s">
        <v>1</v>
      </c>
      <c r="P162" s="41" t="s">
        <v>1</v>
      </c>
      <c r="Q162" s="41" t="str">
        <f>VLOOKUP(Table1[[#This Row],[Eelarvekonto]],Table5[[Konto]:[Kontode alanimetus]],5,FALSE)</f>
        <v>Majandamiskulud</v>
      </c>
      <c r="R162" s="42" t="str">
        <f>VLOOKUP(Table1[[#This Row],[Tegevusala kood]],Table4[[Tegevusala kood]:[Tegevusala alanimetus]],4,FALSE)</f>
        <v>Eakate sotsiaalhoolekande asutused</v>
      </c>
      <c r="S162" s="53"/>
      <c r="T162" s="53"/>
      <c r="U162" s="53">
        <f>Table1[[#This Row],[Summa]]+Table1[[#This Row],[I Muudatus]]+Table1[[#This Row],[II Muudatus]]</f>
        <v>120000</v>
      </c>
    </row>
    <row r="163" spans="1:21" ht="14.25" hidden="1" customHeight="1" x14ac:dyDescent="0.25">
      <c r="A163" s="41" t="s">
        <v>639</v>
      </c>
      <c r="B163" s="41">
        <v>595</v>
      </c>
      <c r="C163" s="52">
        <v>4130</v>
      </c>
      <c r="D163" s="52" t="str">
        <f>LEFT(Table1[[#This Row],[Eelarvekonto]],2)</f>
        <v>41</v>
      </c>
      <c r="E163" s="41" t="str">
        <f>VLOOKUP(Table1[[#This Row],[Eelarvekonto]],Table5[[Konto]:[Konto nimetus]],2,FALSE)</f>
        <v>Peretoetused</v>
      </c>
      <c r="F163" s="41" t="s">
        <v>139</v>
      </c>
      <c r="G163" s="41" t="s">
        <v>24</v>
      </c>
      <c r="J163" s="41" t="s">
        <v>365</v>
      </c>
      <c r="K163" s="41" t="s">
        <v>364</v>
      </c>
      <c r="L163" s="58" t="s">
        <v>631</v>
      </c>
      <c r="M163" s="58" t="str">
        <f>LEFT(Table1[[#This Row],[Tegevusala kood]],2)</f>
        <v>10</v>
      </c>
      <c r="N163" s="41" t="str">
        <f>VLOOKUP(Table1[[#This Row],[Tegevusala kood]],Table4[[Tegevusala kood]:[Tegevusala alanimetus]],2,FALSE)</f>
        <v>Sünnitoetused</v>
      </c>
      <c r="Q163" s="41" t="str">
        <f>VLOOKUP(Table1[[#This Row],[Eelarvekonto]],Table5[[Konto]:[Kontode alanimetus]],5,FALSE)</f>
        <v>Sotsiaalabitoetused ja muud toetused füüsilistele isikutele</v>
      </c>
      <c r="R163" s="42" t="str">
        <f>VLOOKUP(Table1[[#This Row],[Tegevusala kood]],Table4[[Tegevusala kood]:[Tegevusala alanimetus]],4,FALSE)</f>
        <v>Muu perekondade ja laste sotsiaalne kaitse</v>
      </c>
      <c r="S163" s="53"/>
      <c r="T163" s="53"/>
      <c r="U163" s="53">
        <f>Table1[[#This Row],[Summa]]+Table1[[#This Row],[I Muudatus]]+Table1[[#This Row],[II Muudatus]]</f>
        <v>595</v>
      </c>
    </row>
    <row r="164" spans="1:21" ht="14.25" hidden="1" customHeight="1" x14ac:dyDescent="0.25">
      <c r="A164" s="41" t="s">
        <v>638</v>
      </c>
      <c r="B164" s="41">
        <v>400</v>
      </c>
      <c r="C164" s="52">
        <v>4130</v>
      </c>
      <c r="D164" s="52" t="str">
        <f>LEFT(Table1[[#This Row],[Eelarvekonto]],2)</f>
        <v>41</v>
      </c>
      <c r="E164" s="41" t="str">
        <f>VLOOKUP(Table1[[#This Row],[Eelarvekonto]],Table5[[Konto]:[Konto nimetus]],2,FALSE)</f>
        <v>Peretoetused</v>
      </c>
      <c r="F164" s="41" t="s">
        <v>139</v>
      </c>
      <c r="G164" s="41" t="s">
        <v>24</v>
      </c>
      <c r="J164" s="41" t="s">
        <v>365</v>
      </c>
      <c r="K164" s="41" t="s">
        <v>364</v>
      </c>
      <c r="L164" s="58" t="s">
        <v>631</v>
      </c>
      <c r="M164" s="58" t="str">
        <f>LEFT(Table1[[#This Row],[Tegevusala kood]],2)</f>
        <v>10</v>
      </c>
      <c r="N164" s="41" t="str">
        <f>VLOOKUP(Table1[[#This Row],[Tegevusala kood]],Table4[[Tegevusala kood]:[Tegevusala alanimetus]],2,FALSE)</f>
        <v>Sünnitoetused</v>
      </c>
      <c r="Q164" s="41" t="str">
        <f>VLOOKUP(Table1[[#This Row],[Eelarvekonto]],Table5[[Konto]:[Kontode alanimetus]],5,FALSE)</f>
        <v>Sotsiaalabitoetused ja muud toetused füüsilistele isikutele</v>
      </c>
      <c r="R164" s="42" t="str">
        <f>VLOOKUP(Table1[[#This Row],[Tegevusala kood]],Table4[[Tegevusala kood]:[Tegevusala alanimetus]],4,FALSE)</f>
        <v>Muu perekondade ja laste sotsiaalne kaitse</v>
      </c>
      <c r="S164" s="53"/>
      <c r="T164" s="53"/>
      <c r="U164" s="53">
        <f>Table1[[#This Row],[Summa]]+Table1[[#This Row],[I Muudatus]]+Table1[[#This Row],[II Muudatus]]</f>
        <v>400</v>
      </c>
    </row>
    <row r="165" spans="1:21" ht="14.25" hidden="1" customHeight="1" x14ac:dyDescent="0.25">
      <c r="A165" s="41" t="s">
        <v>635</v>
      </c>
      <c r="B165" s="41">
        <v>40</v>
      </c>
      <c r="C165" s="52">
        <v>4130</v>
      </c>
      <c r="D165" s="52" t="str">
        <f>LEFT(Table1[[#This Row],[Eelarvekonto]],2)</f>
        <v>41</v>
      </c>
      <c r="E165" s="41" t="str">
        <f>VLOOKUP(Table1[[#This Row],[Eelarvekonto]],Table5[[Konto]:[Konto nimetus]],2,FALSE)</f>
        <v>Peretoetused</v>
      </c>
      <c r="F165" s="41" t="s">
        <v>139</v>
      </c>
      <c r="G165" s="41" t="s">
        <v>24</v>
      </c>
      <c r="J165" s="41" t="s">
        <v>365</v>
      </c>
      <c r="K165" s="41" t="s">
        <v>364</v>
      </c>
      <c r="L165" s="58" t="s">
        <v>631</v>
      </c>
      <c r="M165" s="58" t="str">
        <f>LEFT(Table1[[#This Row],[Tegevusala kood]],2)</f>
        <v>10</v>
      </c>
      <c r="N165" s="41" t="str">
        <f>VLOOKUP(Table1[[#This Row],[Tegevusala kood]],Table4[[Tegevusala kood]:[Tegevusala alanimetus]],2,FALSE)</f>
        <v>Sünnitoetused</v>
      </c>
      <c r="Q165" s="41" t="str">
        <f>VLOOKUP(Table1[[#This Row],[Eelarvekonto]],Table5[[Konto]:[Kontode alanimetus]],5,FALSE)</f>
        <v>Sotsiaalabitoetused ja muud toetused füüsilistele isikutele</v>
      </c>
      <c r="R165" s="42" t="str">
        <f>VLOOKUP(Table1[[#This Row],[Tegevusala kood]],Table4[[Tegevusala kood]:[Tegevusala alanimetus]],4,FALSE)</f>
        <v>Muu perekondade ja laste sotsiaalne kaitse</v>
      </c>
      <c r="S165" s="53"/>
      <c r="T165" s="53"/>
      <c r="U165" s="53">
        <f>Table1[[#This Row],[Summa]]+Table1[[#This Row],[I Muudatus]]+Table1[[#This Row],[II Muudatus]]</f>
        <v>40</v>
      </c>
    </row>
    <row r="166" spans="1:21" ht="14.25" hidden="1" customHeight="1" x14ac:dyDescent="0.25">
      <c r="A166" s="41" t="s">
        <v>634</v>
      </c>
      <c r="B166" s="41">
        <v>700</v>
      </c>
      <c r="C166" s="52">
        <v>4130</v>
      </c>
      <c r="D166" s="52" t="str">
        <f>LEFT(Table1[[#This Row],[Eelarvekonto]],2)</f>
        <v>41</v>
      </c>
      <c r="E166" s="41" t="str">
        <f>VLOOKUP(Table1[[#This Row],[Eelarvekonto]],Table5[[Konto]:[Konto nimetus]],2,FALSE)</f>
        <v>Peretoetused</v>
      </c>
      <c r="F166" s="41" t="s">
        <v>139</v>
      </c>
      <c r="G166" s="41" t="s">
        <v>24</v>
      </c>
      <c r="J166" s="41" t="s">
        <v>365</v>
      </c>
      <c r="K166" s="41" t="s">
        <v>364</v>
      </c>
      <c r="L166" s="58" t="s">
        <v>631</v>
      </c>
      <c r="M166" s="58" t="str">
        <f>LEFT(Table1[[#This Row],[Tegevusala kood]],2)</f>
        <v>10</v>
      </c>
      <c r="N166" s="41" t="str">
        <f>VLOOKUP(Table1[[#This Row],[Tegevusala kood]],Table4[[Tegevusala kood]:[Tegevusala alanimetus]],2,FALSE)</f>
        <v>Sünnitoetused</v>
      </c>
      <c r="O166" s="41" t="s">
        <v>1</v>
      </c>
      <c r="P166" s="41" t="s">
        <v>1</v>
      </c>
      <c r="Q166" s="41" t="str">
        <f>VLOOKUP(Table1[[#This Row],[Eelarvekonto]],Table5[[Konto]:[Kontode alanimetus]],5,FALSE)</f>
        <v>Sotsiaalabitoetused ja muud toetused füüsilistele isikutele</v>
      </c>
      <c r="R166" s="42" t="str">
        <f>VLOOKUP(Table1[[#This Row],[Tegevusala kood]],Table4[[Tegevusala kood]:[Tegevusala alanimetus]],4,FALSE)</f>
        <v>Muu perekondade ja laste sotsiaalne kaitse</v>
      </c>
      <c r="S166" s="53"/>
      <c r="T166" s="53"/>
      <c r="U166" s="53">
        <f>Table1[[#This Row],[Summa]]+Table1[[#This Row],[I Muudatus]]+Table1[[#This Row],[II Muudatus]]</f>
        <v>700</v>
      </c>
    </row>
    <row r="167" spans="1:21" ht="14.25" hidden="1" customHeight="1" x14ac:dyDescent="0.25">
      <c r="A167" s="41" t="s">
        <v>633</v>
      </c>
      <c r="B167" s="41">
        <v>850</v>
      </c>
      <c r="C167" s="52">
        <v>4130</v>
      </c>
      <c r="D167" s="52" t="str">
        <f>LEFT(Table1[[#This Row],[Eelarvekonto]],2)</f>
        <v>41</v>
      </c>
      <c r="E167" s="41" t="str">
        <f>VLOOKUP(Table1[[#This Row],[Eelarvekonto]],Table5[[Konto]:[Konto nimetus]],2,FALSE)</f>
        <v>Peretoetused</v>
      </c>
      <c r="F167" s="41" t="s">
        <v>139</v>
      </c>
      <c r="G167" s="41" t="s">
        <v>24</v>
      </c>
      <c r="J167" s="41" t="s">
        <v>365</v>
      </c>
      <c r="K167" s="41" t="s">
        <v>364</v>
      </c>
      <c r="L167" s="58" t="s">
        <v>631</v>
      </c>
      <c r="M167" s="58" t="str">
        <f>LEFT(Table1[[#This Row],[Tegevusala kood]],2)</f>
        <v>10</v>
      </c>
      <c r="N167" s="41" t="str">
        <f>VLOOKUP(Table1[[#This Row],[Tegevusala kood]],Table4[[Tegevusala kood]:[Tegevusala alanimetus]],2,FALSE)</f>
        <v>Sünnitoetused</v>
      </c>
      <c r="Q167" s="41" t="str">
        <f>VLOOKUP(Table1[[#This Row],[Eelarvekonto]],Table5[[Konto]:[Kontode alanimetus]],5,FALSE)</f>
        <v>Sotsiaalabitoetused ja muud toetused füüsilistele isikutele</v>
      </c>
      <c r="R167" s="42" t="str">
        <f>VLOOKUP(Table1[[#This Row],[Tegevusala kood]],Table4[[Tegevusala kood]:[Tegevusala alanimetus]],4,FALSE)</f>
        <v>Muu perekondade ja laste sotsiaalne kaitse</v>
      </c>
      <c r="S167" s="53"/>
      <c r="T167" s="53"/>
      <c r="U167" s="53">
        <f>Table1[[#This Row],[Summa]]+Table1[[#This Row],[I Muudatus]]+Table1[[#This Row],[II Muudatus]]</f>
        <v>850</v>
      </c>
    </row>
    <row r="168" spans="1:21" ht="14.25" hidden="1" customHeight="1" x14ac:dyDescent="0.25">
      <c r="A168" s="41" t="s">
        <v>637</v>
      </c>
      <c r="B168" s="41">
        <v>320</v>
      </c>
      <c r="C168" s="52">
        <v>4130</v>
      </c>
      <c r="D168" s="41" t="str">
        <f>LEFT(Table1[[#This Row],[Eelarvekonto]],2)</f>
        <v>41</v>
      </c>
      <c r="E168" s="41" t="str">
        <f>VLOOKUP(Table1[[#This Row],[Eelarvekonto]],Table5[[Konto]:[Konto nimetus]],2,FALSE)</f>
        <v>Peretoetused</v>
      </c>
      <c r="F168" s="41" t="s">
        <v>139</v>
      </c>
      <c r="G168" s="41" t="s">
        <v>24</v>
      </c>
      <c r="J168" s="41" t="s">
        <v>365</v>
      </c>
      <c r="K168" s="41" t="s">
        <v>364</v>
      </c>
      <c r="L168" s="58" t="s">
        <v>631</v>
      </c>
      <c r="M168" s="58" t="str">
        <f>LEFT(Table1[[#This Row],[Tegevusala kood]],2)</f>
        <v>10</v>
      </c>
      <c r="N168" s="41" t="str">
        <f>VLOOKUP(Table1[[#This Row],[Tegevusala kood]],Table4[[Tegevusala kood]:[Tegevusala alanimetus]],2,FALSE)</f>
        <v>Sünnitoetused</v>
      </c>
      <c r="O168" s="41" t="s">
        <v>1</v>
      </c>
      <c r="P168" s="41" t="s">
        <v>1</v>
      </c>
      <c r="Q168" s="41" t="str">
        <f>VLOOKUP(Table1[[#This Row],[Eelarvekonto]],Table5[[Konto]:[Kontode alanimetus]],5,FALSE)</f>
        <v>Sotsiaalabitoetused ja muud toetused füüsilistele isikutele</v>
      </c>
      <c r="R168" s="42" t="str">
        <f>VLOOKUP(Table1[[#This Row],[Tegevusala kood]],Table4[[Tegevusala kood]:[Tegevusala alanimetus]],4,FALSE)</f>
        <v>Muu perekondade ja laste sotsiaalne kaitse</v>
      </c>
      <c r="S168" s="53"/>
      <c r="T168" s="53"/>
      <c r="U168" s="53">
        <f>Table1[[#This Row],[Summa]]+Table1[[#This Row],[I Muudatus]]+Table1[[#This Row],[II Muudatus]]</f>
        <v>320</v>
      </c>
    </row>
    <row r="169" spans="1:21" ht="14.25" hidden="1" customHeight="1" x14ac:dyDescent="0.25">
      <c r="A169" s="41" t="s">
        <v>636</v>
      </c>
      <c r="B169" s="41">
        <v>595</v>
      </c>
      <c r="C169" s="52">
        <v>4130</v>
      </c>
      <c r="D169" s="41" t="str">
        <f>LEFT(Table1[[#This Row],[Eelarvekonto]],2)</f>
        <v>41</v>
      </c>
      <c r="E169" s="41" t="str">
        <f>VLOOKUP(Table1[[#This Row],[Eelarvekonto]],Table5[[Konto]:[Konto nimetus]],2,FALSE)</f>
        <v>Peretoetused</v>
      </c>
      <c r="F169" s="41" t="s">
        <v>139</v>
      </c>
      <c r="G169" s="41" t="s">
        <v>24</v>
      </c>
      <c r="J169" s="41" t="s">
        <v>365</v>
      </c>
      <c r="K169" s="41" t="s">
        <v>364</v>
      </c>
      <c r="L169" s="58" t="s">
        <v>631</v>
      </c>
      <c r="M169" s="58" t="str">
        <f>LEFT(Table1[[#This Row],[Tegevusala kood]],2)</f>
        <v>10</v>
      </c>
      <c r="N169" s="41" t="str">
        <f>VLOOKUP(Table1[[#This Row],[Tegevusala kood]],Table4[[Tegevusala kood]:[Tegevusala alanimetus]],2,FALSE)</f>
        <v>Sünnitoetused</v>
      </c>
      <c r="O169" s="41" t="s">
        <v>1</v>
      </c>
      <c r="P169" s="41" t="s">
        <v>1</v>
      </c>
      <c r="Q169" s="41" t="str">
        <f>VLOOKUP(Table1[[#This Row],[Eelarvekonto]],Table5[[Konto]:[Kontode alanimetus]],5,FALSE)</f>
        <v>Sotsiaalabitoetused ja muud toetused füüsilistele isikutele</v>
      </c>
      <c r="R169" s="42" t="str">
        <f>VLOOKUP(Table1[[#This Row],[Tegevusala kood]],Table4[[Tegevusala kood]:[Tegevusala alanimetus]],4,FALSE)</f>
        <v>Muu perekondade ja laste sotsiaalne kaitse</v>
      </c>
      <c r="S169" s="53"/>
      <c r="T169" s="53"/>
      <c r="U169" s="53">
        <f>Table1[[#This Row],[Summa]]+Table1[[#This Row],[I Muudatus]]+Table1[[#This Row],[II Muudatus]]</f>
        <v>595</v>
      </c>
    </row>
    <row r="170" spans="1:21" ht="14.25" hidden="1" customHeight="1" x14ac:dyDescent="0.25">
      <c r="A170" s="41" t="s">
        <v>632</v>
      </c>
      <c r="B170" s="41">
        <v>38000</v>
      </c>
      <c r="C170" s="52">
        <v>4130</v>
      </c>
      <c r="D170" s="41" t="str">
        <f>LEFT(Table1[[#This Row],[Eelarvekonto]],2)</f>
        <v>41</v>
      </c>
      <c r="E170" s="41" t="str">
        <f>VLOOKUP(Table1[[#This Row],[Eelarvekonto]],Table5[[Konto]:[Konto nimetus]],2,FALSE)</f>
        <v>Peretoetused</v>
      </c>
      <c r="F170" s="41" t="s">
        <v>139</v>
      </c>
      <c r="G170" s="41" t="s">
        <v>24</v>
      </c>
      <c r="J170" s="41" t="s">
        <v>365</v>
      </c>
      <c r="K170" s="41" t="s">
        <v>364</v>
      </c>
      <c r="L170" s="58" t="s">
        <v>631</v>
      </c>
      <c r="M170" s="58" t="str">
        <f>LEFT(Table1[[#This Row],[Tegevusala kood]],2)</f>
        <v>10</v>
      </c>
      <c r="N170" s="41" t="str">
        <f>VLOOKUP(Table1[[#This Row],[Tegevusala kood]],Table4[[Tegevusala kood]:[Tegevusala alanimetus]],2,FALSE)</f>
        <v>Sünnitoetused</v>
      </c>
      <c r="O170" s="41" t="s">
        <v>1</v>
      </c>
      <c r="P170" s="41" t="s">
        <v>1</v>
      </c>
      <c r="Q170" s="41" t="str">
        <f>VLOOKUP(Table1[[#This Row],[Eelarvekonto]],Table5[[Konto]:[Kontode alanimetus]],5,FALSE)</f>
        <v>Sotsiaalabitoetused ja muud toetused füüsilistele isikutele</v>
      </c>
      <c r="R170" s="42" t="str">
        <f>VLOOKUP(Table1[[#This Row],[Tegevusala kood]],Table4[[Tegevusala kood]:[Tegevusala alanimetus]],4,FALSE)</f>
        <v>Muu perekondade ja laste sotsiaalne kaitse</v>
      </c>
      <c r="S170" s="53"/>
      <c r="T170" s="53"/>
      <c r="U170" s="53">
        <f>Table1[[#This Row],[Summa]]+Table1[[#This Row],[I Muudatus]]+Table1[[#This Row],[II Muudatus]]</f>
        <v>38000</v>
      </c>
    </row>
    <row r="171" spans="1:21" ht="14.25" hidden="1" customHeight="1" x14ac:dyDescent="0.25">
      <c r="A171" s="41" t="s">
        <v>629</v>
      </c>
      <c r="B171" s="41">
        <v>4320</v>
      </c>
      <c r="C171" s="52">
        <v>5005</v>
      </c>
      <c r="D171" s="41" t="str">
        <f>LEFT(Table1[[#This Row],[Eelarvekonto]],2)</f>
        <v>50</v>
      </c>
      <c r="E171" s="41" t="str">
        <f>VLOOKUP(Table1[[#This Row],[Eelarvekonto]],Table5[[Konto]:[Konto nimetus]],2,FALSE)</f>
        <v>Töötasud võlaõiguslike lepingute alusel</v>
      </c>
      <c r="F171" s="41" t="s">
        <v>139</v>
      </c>
      <c r="G171" s="41" t="s">
        <v>24</v>
      </c>
      <c r="J171" s="41" t="s">
        <v>365</v>
      </c>
      <c r="K171" s="41" t="s">
        <v>364</v>
      </c>
      <c r="L171" s="58" t="s">
        <v>628</v>
      </c>
      <c r="M171" s="58" t="str">
        <f>LEFT(Table1[[#This Row],[Tegevusala kood]],2)</f>
        <v>10</v>
      </c>
      <c r="N171" s="41" t="str">
        <f>VLOOKUP(Table1[[#This Row],[Tegevusala kood]],Table4[[Tegevusala kood]:[Tegevusala alanimetus]],2,FALSE)</f>
        <v>Tugiisikud (perekondade ja laste)</v>
      </c>
      <c r="O171" s="41" t="s">
        <v>1</v>
      </c>
      <c r="P171" s="41" t="s">
        <v>1</v>
      </c>
      <c r="Q171" s="41" t="str">
        <f>VLOOKUP(Table1[[#This Row],[Eelarvekonto]],Table5[[Konto]:[Kontode alanimetus]],5,FALSE)</f>
        <v>Tööjõukulud</v>
      </c>
      <c r="R171" s="42" t="str">
        <f>VLOOKUP(Table1[[#This Row],[Tegevusala kood]],Table4[[Tegevusala kood]:[Tegevusala alanimetus]],4,FALSE)</f>
        <v>Muu perekondade ja laste sotsiaalne kaitse</v>
      </c>
      <c r="S171" s="53"/>
      <c r="T171" s="53"/>
      <c r="U171" s="53">
        <f>Table1[[#This Row],[Summa]]+Table1[[#This Row],[I Muudatus]]+Table1[[#This Row],[II Muudatus]]</f>
        <v>4320</v>
      </c>
    </row>
    <row r="172" spans="1:21" ht="14.25" hidden="1" customHeight="1" x14ac:dyDescent="0.25">
      <c r="A172" s="41" t="s">
        <v>158</v>
      </c>
      <c r="B172" s="41">
        <v>1460.16</v>
      </c>
      <c r="C172" s="52">
        <v>506</v>
      </c>
      <c r="D172" s="41" t="str">
        <f>LEFT(Table1[[#This Row],[Eelarvekonto]],2)</f>
        <v>50</v>
      </c>
      <c r="E172" s="41" t="str">
        <f>VLOOKUP(Table1[[#This Row],[Eelarvekonto]],Table5[[Konto]:[Konto nimetus]],2,FALSE)</f>
        <v>Tööjõukuludega kaasnevad maksud ja sotsiaalkindlustusmaksed</v>
      </c>
      <c r="F172" s="41" t="s">
        <v>139</v>
      </c>
      <c r="G172" s="41" t="s">
        <v>24</v>
      </c>
      <c r="J172" s="41" t="s">
        <v>365</v>
      </c>
      <c r="K172" s="41" t="s">
        <v>364</v>
      </c>
      <c r="L172" s="58" t="s">
        <v>628</v>
      </c>
      <c r="M172" s="58" t="str">
        <f>LEFT(Table1[[#This Row],[Tegevusala kood]],2)</f>
        <v>10</v>
      </c>
      <c r="N172" s="41" t="str">
        <f>VLOOKUP(Table1[[#This Row],[Tegevusala kood]],Table4[[Tegevusala kood]:[Tegevusala alanimetus]],2,FALSE)</f>
        <v>Tugiisikud (perekondade ja laste)</v>
      </c>
      <c r="O172" s="41" t="s">
        <v>1</v>
      </c>
      <c r="P172" s="41" t="s">
        <v>1</v>
      </c>
      <c r="Q172" s="41" t="str">
        <f>VLOOKUP(Table1[[#This Row],[Eelarvekonto]],Table5[[Konto]:[Kontode alanimetus]],5,FALSE)</f>
        <v>Tööjõukulud</v>
      </c>
      <c r="R172" s="42" t="str">
        <f>VLOOKUP(Table1[[#This Row],[Tegevusala kood]],Table4[[Tegevusala kood]:[Tegevusala alanimetus]],4,FALSE)</f>
        <v>Muu perekondade ja laste sotsiaalne kaitse</v>
      </c>
      <c r="S172" s="53"/>
      <c r="T172" s="53"/>
      <c r="U172" s="53">
        <f>Table1[[#This Row],[Summa]]+Table1[[#This Row],[I Muudatus]]+Table1[[#This Row],[II Muudatus]]</f>
        <v>1460.16</v>
      </c>
    </row>
    <row r="173" spans="1:21" ht="14.25" hidden="1" customHeight="1" x14ac:dyDescent="0.25">
      <c r="A173" s="41" t="s">
        <v>626</v>
      </c>
      <c r="B173" s="41">
        <v>8000</v>
      </c>
      <c r="C173" s="52">
        <v>5525</v>
      </c>
      <c r="D173" s="41" t="str">
        <f>LEFT(Table1[[#This Row],[Eelarvekonto]],2)</f>
        <v>55</v>
      </c>
      <c r="E173" s="41" t="str">
        <f>VLOOKUP(Table1[[#This Row],[Eelarvekonto]],Table5[[Konto]:[Konto nimetus]],2,FALSE)</f>
        <v>Kommunikatsiooni-, kultuuri- ja vaba aja sisustamise kulud</v>
      </c>
      <c r="F173" s="41" t="s">
        <v>139</v>
      </c>
      <c r="G173" s="41" t="s">
        <v>24</v>
      </c>
      <c r="J173" s="41" t="s">
        <v>365</v>
      </c>
      <c r="K173" s="41" t="s">
        <v>364</v>
      </c>
      <c r="L173" s="58" t="s">
        <v>378</v>
      </c>
      <c r="M173" s="58" t="str">
        <f>LEFT(Table1[[#This Row],[Tegevusala kood]],2)</f>
        <v>10</v>
      </c>
      <c r="N173" s="41" t="str">
        <f>VLOOKUP(Table1[[#This Row],[Tegevusala kood]],Table4[[Tegevusala kood]:[Tegevusala alanimetus]],2,FALSE)</f>
        <v>Muud toetused</v>
      </c>
      <c r="O173" s="41" t="s">
        <v>1</v>
      </c>
      <c r="P173" s="41" t="s">
        <v>1</v>
      </c>
      <c r="Q173" s="41" t="str">
        <f>VLOOKUP(Table1[[#This Row],[Eelarvekonto]],Table5[[Konto]:[Kontode alanimetus]],5,FALSE)</f>
        <v>Majandamiskulud</v>
      </c>
      <c r="R173" s="42" t="str">
        <f>VLOOKUP(Table1[[#This Row],[Tegevusala kood]],Table4[[Tegevusala kood]:[Tegevusala alanimetus]],4,FALSE)</f>
        <v>Muu perekondade ja laste sotsiaalne kaitse</v>
      </c>
      <c r="S173" s="53"/>
      <c r="T173" s="53"/>
      <c r="U173" s="53">
        <f>Table1[[#This Row],[Summa]]+Table1[[#This Row],[I Muudatus]]+Table1[[#This Row],[II Muudatus]]</f>
        <v>8000</v>
      </c>
    </row>
    <row r="174" spans="1:21" ht="14.25" hidden="1" customHeight="1" x14ac:dyDescent="0.25">
      <c r="A174" s="41" t="s">
        <v>624</v>
      </c>
      <c r="B174" s="41">
        <v>83207</v>
      </c>
      <c r="C174" s="52">
        <v>413100</v>
      </c>
      <c r="D174" s="41" t="str">
        <f>LEFT(Table1[[#This Row],[Eelarvekonto]],2)</f>
        <v>41</v>
      </c>
      <c r="E174" s="41" t="str">
        <f>VLOOKUP(Table1[[#This Row],[Eelarvekonto]],Table5[[Konto]:[Konto nimetus]],2,FALSE)</f>
        <v>Toimetulekutoetus ja täiendavad sotsiaaltoetused</v>
      </c>
      <c r="F174" s="41" t="s">
        <v>139</v>
      </c>
      <c r="G174" s="41" t="s">
        <v>24</v>
      </c>
      <c r="J174" s="41" t="s">
        <v>365</v>
      </c>
      <c r="K174" s="41" t="s">
        <v>364</v>
      </c>
      <c r="L174" s="58" t="s">
        <v>623</v>
      </c>
      <c r="M174" s="58" t="str">
        <f>LEFT(Table1[[#This Row],[Tegevusala kood]],2)</f>
        <v>10</v>
      </c>
      <c r="N174" s="41" t="str">
        <f>VLOOKUP(Table1[[#This Row],[Tegevusala kood]],Table4[[Tegevusala kood]:[Tegevusala alanimetus]],2,FALSE)</f>
        <v>Riiklik toimetulekutoetus</v>
      </c>
      <c r="O174" s="41" t="s">
        <v>1</v>
      </c>
      <c r="P174" s="41" t="s">
        <v>1</v>
      </c>
      <c r="Q174" s="41" t="str">
        <f>VLOOKUP(Table1[[#This Row],[Eelarvekonto]],Table5[[Konto]:[Kontode alanimetus]],5,FALSE)</f>
        <v>Sotsiaalabitoetused ja muud toetused füüsilistele isikutele</v>
      </c>
      <c r="R174" s="42" t="str">
        <f>VLOOKUP(Table1[[#This Row],[Tegevusala kood]],Table4[[Tegevusala kood]:[Tegevusala alanimetus]],4,FALSE)</f>
        <v>Riiklik toimetulekutoetus</v>
      </c>
      <c r="S174" s="53"/>
      <c r="T174" s="53"/>
      <c r="U174" s="53">
        <f>Table1[[#This Row],[Summa]]+Table1[[#This Row],[I Muudatus]]+Table1[[#This Row],[II Muudatus]]</f>
        <v>83207</v>
      </c>
    </row>
    <row r="175" spans="1:21" ht="14.25" hidden="1" customHeight="1" x14ac:dyDescent="0.25">
      <c r="A175" s="41" t="s">
        <v>158</v>
      </c>
      <c r="B175" s="41">
        <v>2397.1</v>
      </c>
      <c r="C175" s="52">
        <v>506</v>
      </c>
      <c r="D175" s="41" t="str">
        <f>LEFT(Table1[[#This Row],[Eelarvekonto]],2)</f>
        <v>50</v>
      </c>
      <c r="E175" s="41" t="str">
        <f>VLOOKUP(Table1[[#This Row],[Eelarvekonto]],Table5[[Konto]:[Konto nimetus]],2,FALSE)</f>
        <v>Tööjõukuludega kaasnevad maksud ja sotsiaalkindlustusmaksed</v>
      </c>
      <c r="F175" s="41" t="s">
        <v>139</v>
      </c>
      <c r="G175" s="41" t="s">
        <v>24</v>
      </c>
      <c r="J175" s="41" t="s">
        <v>242</v>
      </c>
      <c r="K175" s="41" t="s">
        <v>241</v>
      </c>
      <c r="L175" s="58" t="s">
        <v>240</v>
      </c>
      <c r="M175" s="58" t="str">
        <f>LEFT(Table1[[#This Row],[Tegevusala kood]],2)</f>
        <v>08</v>
      </c>
      <c r="N175" s="41" t="str">
        <f>VLOOKUP(Table1[[#This Row],[Tegevusala kood]],Table4[[Tegevusala kood]:[Tegevusala alanimetus]],2,FALSE)</f>
        <v>Tudu Raamatukogu</v>
      </c>
      <c r="O175" s="41" t="s">
        <v>1</v>
      </c>
      <c r="P175" s="41" t="s">
        <v>1</v>
      </c>
      <c r="Q175" s="41" t="str">
        <f>VLOOKUP(Table1[[#This Row],[Eelarvekonto]],Table5[[Konto]:[Kontode alanimetus]],5,FALSE)</f>
        <v>Tööjõukulud</v>
      </c>
      <c r="R175" s="42" t="str">
        <f>VLOOKUP(Table1[[#This Row],[Tegevusala kood]],Table4[[Tegevusala kood]:[Tegevusala alanimetus]],4,FALSE)</f>
        <v>Raamatukogud</v>
      </c>
      <c r="S175" s="53"/>
      <c r="T175" s="53"/>
      <c r="U175" s="53">
        <f>Table1[[#This Row],[Summa]]+Table1[[#This Row],[I Muudatus]]+Table1[[#This Row],[II Muudatus]]</f>
        <v>2397.1</v>
      </c>
    </row>
    <row r="176" spans="1:21" ht="14.25" hidden="1" customHeight="1" x14ac:dyDescent="0.25">
      <c r="A176" s="41" t="s">
        <v>462</v>
      </c>
      <c r="B176" s="41">
        <v>7092</v>
      </c>
      <c r="C176" s="52">
        <v>5002</v>
      </c>
      <c r="D176" s="41" t="str">
        <f>LEFT(Table1[[#This Row],[Eelarvekonto]],2)</f>
        <v>50</v>
      </c>
      <c r="E176" s="41" t="str">
        <f>VLOOKUP(Table1[[#This Row],[Eelarvekonto]],Table5[[Konto]:[Konto nimetus]],2,FALSE)</f>
        <v>Töötajate töötasud</v>
      </c>
      <c r="F176" s="41" t="s">
        <v>139</v>
      </c>
      <c r="G176" s="41" t="s">
        <v>24</v>
      </c>
      <c r="J176" s="41" t="s">
        <v>242</v>
      </c>
      <c r="K176" s="41" t="s">
        <v>241</v>
      </c>
      <c r="L176" s="58" t="s">
        <v>240</v>
      </c>
      <c r="M176" s="58" t="str">
        <f>LEFT(Table1[[#This Row],[Tegevusala kood]],2)</f>
        <v>08</v>
      </c>
      <c r="N176" s="41" t="str">
        <f>VLOOKUP(Table1[[#This Row],[Tegevusala kood]],Table4[[Tegevusala kood]:[Tegevusala alanimetus]],2,FALSE)</f>
        <v>Tudu Raamatukogu</v>
      </c>
      <c r="O176" s="41" t="s">
        <v>1</v>
      </c>
      <c r="P176" s="41" t="s">
        <v>1</v>
      </c>
      <c r="Q176" s="41" t="str">
        <f>VLOOKUP(Table1[[#This Row],[Eelarvekonto]],Table5[[Konto]:[Kontode alanimetus]],5,FALSE)</f>
        <v>Tööjõukulud</v>
      </c>
      <c r="R176" s="42" t="str">
        <f>VLOOKUP(Table1[[#This Row],[Tegevusala kood]],Table4[[Tegevusala kood]:[Tegevusala alanimetus]],4,FALSE)</f>
        <v>Raamatukogud</v>
      </c>
      <c r="S176" s="53"/>
      <c r="T176" s="53"/>
      <c r="U176" s="53">
        <f>Table1[[#This Row],[Summa]]+Table1[[#This Row],[I Muudatus]]+Table1[[#This Row],[II Muudatus]]</f>
        <v>7092</v>
      </c>
    </row>
    <row r="177" spans="1:21" ht="14.25" hidden="1" customHeight="1" x14ac:dyDescent="0.25">
      <c r="A177" s="41" t="s">
        <v>491</v>
      </c>
      <c r="B177" s="41">
        <v>100</v>
      </c>
      <c r="C177" s="52">
        <v>5500</v>
      </c>
      <c r="D177" s="41" t="str">
        <f>LEFT(Table1[[#This Row],[Eelarvekonto]],2)</f>
        <v>55</v>
      </c>
      <c r="E177" s="41" t="str">
        <f>VLOOKUP(Table1[[#This Row],[Eelarvekonto]],Table5[[Konto]:[Konto nimetus]],2,FALSE)</f>
        <v>Administreerimiskulud</v>
      </c>
      <c r="F177" s="41" t="s">
        <v>139</v>
      </c>
      <c r="G177" s="41" t="s">
        <v>24</v>
      </c>
      <c r="J177" s="41" t="s">
        <v>242</v>
      </c>
      <c r="K177" s="41" t="s">
        <v>241</v>
      </c>
      <c r="L177" s="58" t="s">
        <v>240</v>
      </c>
      <c r="M177" s="58" t="str">
        <f>LEFT(Table1[[#This Row],[Tegevusala kood]],2)</f>
        <v>08</v>
      </c>
      <c r="N177" s="41" t="str">
        <f>VLOOKUP(Table1[[#This Row],[Tegevusala kood]],Table4[[Tegevusala kood]:[Tegevusala alanimetus]],2,FALSE)</f>
        <v>Tudu Raamatukogu</v>
      </c>
      <c r="O177" s="41" t="s">
        <v>1</v>
      </c>
      <c r="P177" s="41" t="s">
        <v>1</v>
      </c>
      <c r="Q177" s="41" t="str">
        <f>VLOOKUP(Table1[[#This Row],[Eelarvekonto]],Table5[[Konto]:[Kontode alanimetus]],5,FALSE)</f>
        <v>Majandamiskulud</v>
      </c>
      <c r="R177" s="42" t="str">
        <f>VLOOKUP(Table1[[#This Row],[Tegevusala kood]],Table4[[Tegevusala kood]:[Tegevusala alanimetus]],4,FALSE)</f>
        <v>Raamatukogud</v>
      </c>
      <c r="S177" s="53"/>
      <c r="T177" s="53"/>
      <c r="U177" s="53">
        <f>Table1[[#This Row],[Summa]]+Table1[[#This Row],[I Muudatus]]+Table1[[#This Row],[II Muudatus]]</f>
        <v>100</v>
      </c>
    </row>
    <row r="178" spans="1:21" ht="14.25" hidden="1" customHeight="1" x14ac:dyDescent="0.25">
      <c r="A178" s="41" t="s">
        <v>490</v>
      </c>
      <c r="B178" s="41">
        <v>240</v>
      </c>
      <c r="C178" s="52">
        <v>5514</v>
      </c>
      <c r="D178" s="41" t="str">
        <f>LEFT(Table1[[#This Row],[Eelarvekonto]],2)</f>
        <v>55</v>
      </c>
      <c r="E178" s="41" t="str">
        <f>VLOOKUP(Table1[[#This Row],[Eelarvekonto]],Table5[[Konto]:[Konto nimetus]],2,FALSE)</f>
        <v>Info- ja kommunikatsioonitehnoloogia kulud</v>
      </c>
      <c r="F178" s="41" t="s">
        <v>139</v>
      </c>
      <c r="G178" s="41" t="s">
        <v>24</v>
      </c>
      <c r="J178" s="41" t="s">
        <v>242</v>
      </c>
      <c r="K178" s="41" t="s">
        <v>241</v>
      </c>
      <c r="L178" s="58" t="s">
        <v>240</v>
      </c>
      <c r="M178" s="58" t="str">
        <f>LEFT(Table1[[#This Row],[Tegevusala kood]],2)</f>
        <v>08</v>
      </c>
      <c r="N178" s="41" t="str">
        <f>VLOOKUP(Table1[[#This Row],[Tegevusala kood]],Table4[[Tegevusala kood]:[Tegevusala alanimetus]],2,FALSE)</f>
        <v>Tudu Raamatukogu</v>
      </c>
      <c r="O178" s="41" t="s">
        <v>1</v>
      </c>
      <c r="P178" s="41" t="s">
        <v>1</v>
      </c>
      <c r="Q178" s="41" t="str">
        <f>VLOOKUP(Table1[[#This Row],[Eelarvekonto]],Table5[[Konto]:[Kontode alanimetus]],5,FALSE)</f>
        <v>Majandamiskulud</v>
      </c>
      <c r="R178" s="42" t="str">
        <f>VLOOKUP(Table1[[#This Row],[Tegevusala kood]],Table4[[Tegevusala kood]:[Tegevusala alanimetus]],4,FALSE)</f>
        <v>Raamatukogud</v>
      </c>
      <c r="S178" s="53"/>
      <c r="T178" s="53"/>
      <c r="U178" s="53">
        <f>Table1[[#This Row],[Summa]]+Table1[[#This Row],[I Muudatus]]+Table1[[#This Row],[II Muudatus]]</f>
        <v>240</v>
      </c>
    </row>
    <row r="179" spans="1:21" ht="14.25" hidden="1" customHeight="1" x14ac:dyDescent="0.25">
      <c r="A179" s="41" t="s">
        <v>159</v>
      </c>
      <c r="B179" s="41">
        <v>480</v>
      </c>
      <c r="C179" s="52">
        <v>5514</v>
      </c>
      <c r="D179" s="52" t="str">
        <f>LEFT(Table1[[#This Row],[Eelarvekonto]],2)</f>
        <v>55</v>
      </c>
      <c r="E179" s="41" t="str">
        <f>VLOOKUP(Table1[[#This Row],[Eelarvekonto]],Table5[[Konto]:[Konto nimetus]],2,FALSE)</f>
        <v>Info- ja kommunikatsioonitehnoloogia kulud</v>
      </c>
      <c r="F179" s="41" t="s">
        <v>139</v>
      </c>
      <c r="G179" s="41" t="s">
        <v>24</v>
      </c>
      <c r="J179" s="41" t="s">
        <v>238</v>
      </c>
      <c r="K179" s="41" t="s">
        <v>94</v>
      </c>
      <c r="L179" s="58" t="s">
        <v>237</v>
      </c>
      <c r="M179" s="58" t="str">
        <f>LEFT(Table1[[#This Row],[Tegevusala kood]],2)</f>
        <v>08</v>
      </c>
      <c r="N179" s="41" t="str">
        <f>VLOOKUP(Table1[[#This Row],[Tegevusala kood]],Table4[[Tegevusala kood]:[Tegevusala alanimetus]],2,FALSE)</f>
        <v>Ulvi Raamatukogu</v>
      </c>
      <c r="O179" s="41" t="s">
        <v>1</v>
      </c>
      <c r="P179" s="41" t="s">
        <v>1</v>
      </c>
      <c r="Q179" s="41" t="str">
        <f>VLOOKUP(Table1[[#This Row],[Eelarvekonto]],Table5[[Konto]:[Kontode alanimetus]],5,FALSE)</f>
        <v>Majandamiskulud</v>
      </c>
      <c r="R179" s="42" t="str">
        <f>VLOOKUP(Table1[[#This Row],[Tegevusala kood]],Table4[[Tegevusala kood]:[Tegevusala alanimetus]],4,FALSE)</f>
        <v>Raamatukogud</v>
      </c>
      <c r="S179" s="53"/>
      <c r="T179" s="53"/>
      <c r="U179" s="53">
        <f>Table1[[#This Row],[Summa]]+Table1[[#This Row],[I Muudatus]]+Table1[[#This Row],[II Muudatus]]</f>
        <v>480</v>
      </c>
    </row>
    <row r="180" spans="1:21" ht="14.25" hidden="1" customHeight="1" x14ac:dyDescent="0.25">
      <c r="A180" s="41" t="s">
        <v>197</v>
      </c>
      <c r="B180" s="41">
        <v>768</v>
      </c>
      <c r="C180" s="52">
        <v>5513081</v>
      </c>
      <c r="D180" s="41" t="str">
        <f>LEFT(Table1[[#This Row],[Eelarvekonto]],2)</f>
        <v>55</v>
      </c>
      <c r="E180" s="41" t="str">
        <f>VLOOKUP(Table1[[#This Row],[Eelarvekonto]],Table5[[Konto]:[Konto nimetus]],2,FALSE)</f>
        <v>Isikliku sõiduauto kompensatsioon</v>
      </c>
      <c r="F180" s="41" t="s">
        <v>139</v>
      </c>
      <c r="G180" s="41" t="s">
        <v>24</v>
      </c>
      <c r="J180" s="41" t="s">
        <v>238</v>
      </c>
      <c r="K180" s="41" t="s">
        <v>94</v>
      </c>
      <c r="L180" s="58" t="s">
        <v>237</v>
      </c>
      <c r="M180" s="58" t="str">
        <f>LEFT(Table1[[#This Row],[Tegevusala kood]],2)</f>
        <v>08</v>
      </c>
      <c r="N180" s="41" t="str">
        <f>VLOOKUP(Table1[[#This Row],[Tegevusala kood]],Table4[[Tegevusala kood]:[Tegevusala alanimetus]],2,FALSE)</f>
        <v>Ulvi Raamatukogu</v>
      </c>
      <c r="O180" s="41" t="s">
        <v>1</v>
      </c>
      <c r="P180" s="41" t="s">
        <v>1</v>
      </c>
      <c r="Q180" s="41" t="str">
        <f>VLOOKUP(Table1[[#This Row],[Eelarvekonto]],Table5[[Konto]:[Kontode alanimetus]],5,FALSE)</f>
        <v>Majandamiskulud</v>
      </c>
      <c r="R180" s="42" t="str">
        <f>VLOOKUP(Table1[[#This Row],[Tegevusala kood]],Table4[[Tegevusala kood]:[Tegevusala alanimetus]],4,FALSE)</f>
        <v>Raamatukogud</v>
      </c>
      <c r="S180" s="53"/>
      <c r="T180" s="53"/>
      <c r="U180" s="53">
        <f>Table1[[#This Row],[Summa]]+Table1[[#This Row],[I Muudatus]]+Table1[[#This Row],[II Muudatus]]</f>
        <v>768</v>
      </c>
    </row>
    <row r="181" spans="1:21" ht="14.25" hidden="1" customHeight="1" x14ac:dyDescent="0.25">
      <c r="A181" s="41" t="s">
        <v>158</v>
      </c>
      <c r="B181" s="41">
        <v>4891.54</v>
      </c>
      <c r="C181" s="52">
        <v>506</v>
      </c>
      <c r="D181" s="52" t="str">
        <f>LEFT(Table1[[#This Row],[Eelarvekonto]],2)</f>
        <v>50</v>
      </c>
      <c r="E181" s="41" t="str">
        <f>VLOOKUP(Table1[[#This Row],[Eelarvekonto]],Table5[[Konto]:[Konto nimetus]],2,FALSE)</f>
        <v>Tööjõukuludega kaasnevad maksud ja sotsiaalkindlustusmaksed</v>
      </c>
      <c r="F181" s="41" t="s">
        <v>139</v>
      </c>
      <c r="G181" s="41" t="s">
        <v>24</v>
      </c>
      <c r="J181" s="41" t="s">
        <v>238</v>
      </c>
      <c r="K181" s="41" t="s">
        <v>94</v>
      </c>
      <c r="L181" s="58" t="s">
        <v>237</v>
      </c>
      <c r="M181" s="58" t="str">
        <f>LEFT(Table1[[#This Row],[Tegevusala kood]],2)</f>
        <v>08</v>
      </c>
      <c r="N181" s="41" t="str">
        <f>VLOOKUP(Table1[[#This Row],[Tegevusala kood]],Table4[[Tegevusala kood]:[Tegevusala alanimetus]],2,FALSE)</f>
        <v>Ulvi Raamatukogu</v>
      </c>
      <c r="O181" s="41" t="s">
        <v>1</v>
      </c>
      <c r="P181" s="41" t="s">
        <v>1</v>
      </c>
      <c r="Q181" s="41" t="str">
        <f>VLOOKUP(Table1[[#This Row],[Eelarvekonto]],Table5[[Konto]:[Kontode alanimetus]],5,FALSE)</f>
        <v>Tööjõukulud</v>
      </c>
      <c r="R181" s="42" t="str">
        <f>VLOOKUP(Table1[[#This Row],[Tegevusala kood]],Table4[[Tegevusala kood]:[Tegevusala alanimetus]],4,FALSE)</f>
        <v>Raamatukogud</v>
      </c>
      <c r="S181" s="53"/>
      <c r="T181" s="53"/>
      <c r="U181" s="53">
        <f>Table1[[#This Row],[Summa]]+Table1[[#This Row],[I Muudatus]]+Table1[[#This Row],[II Muudatus]]</f>
        <v>4891.54</v>
      </c>
    </row>
    <row r="182" spans="1:21" ht="14.25" hidden="1" customHeight="1" x14ac:dyDescent="0.25">
      <c r="A182" s="41" t="s">
        <v>495</v>
      </c>
      <c r="B182" s="41">
        <v>2808</v>
      </c>
      <c r="C182" s="52">
        <v>5002</v>
      </c>
      <c r="D182" s="52" t="str">
        <f>LEFT(Table1[[#This Row],[Eelarvekonto]],2)</f>
        <v>50</v>
      </c>
      <c r="E182" s="41" t="str">
        <f>VLOOKUP(Table1[[#This Row],[Eelarvekonto]],Table5[[Konto]:[Konto nimetus]],2,FALSE)</f>
        <v>Töötajate töötasud</v>
      </c>
      <c r="F182" s="41" t="s">
        <v>139</v>
      </c>
      <c r="G182" s="41" t="s">
        <v>24</v>
      </c>
      <c r="J182" s="41" t="s">
        <v>238</v>
      </c>
      <c r="K182" s="41" t="s">
        <v>94</v>
      </c>
      <c r="L182" s="58" t="s">
        <v>237</v>
      </c>
      <c r="M182" s="58" t="str">
        <f>LEFT(Table1[[#This Row],[Tegevusala kood]],2)</f>
        <v>08</v>
      </c>
      <c r="N182" s="41" t="str">
        <f>VLOOKUP(Table1[[#This Row],[Tegevusala kood]],Table4[[Tegevusala kood]:[Tegevusala alanimetus]],2,FALSE)</f>
        <v>Ulvi Raamatukogu</v>
      </c>
      <c r="O182" s="41" t="s">
        <v>1</v>
      </c>
      <c r="P182" s="41" t="s">
        <v>1</v>
      </c>
      <c r="Q182" s="41" t="str">
        <f>VLOOKUP(Table1[[#This Row],[Eelarvekonto]],Table5[[Konto]:[Kontode alanimetus]],5,FALSE)</f>
        <v>Tööjõukulud</v>
      </c>
      <c r="R182" s="42" t="str">
        <f>VLOOKUP(Table1[[#This Row],[Tegevusala kood]],Table4[[Tegevusala kood]:[Tegevusala alanimetus]],4,FALSE)</f>
        <v>Raamatukogud</v>
      </c>
      <c r="S182" s="53"/>
      <c r="T182" s="53"/>
      <c r="U182" s="53">
        <f>Table1[[#This Row],[Summa]]+Table1[[#This Row],[I Muudatus]]+Table1[[#This Row],[II Muudatus]]</f>
        <v>2808</v>
      </c>
    </row>
    <row r="183" spans="1:21" ht="14.25" hidden="1" customHeight="1" x14ac:dyDescent="0.25">
      <c r="A183" s="41" t="s">
        <v>494</v>
      </c>
      <c r="B183" s="41">
        <v>11664</v>
      </c>
      <c r="C183" s="52">
        <v>5002</v>
      </c>
      <c r="D183" s="52" t="str">
        <f>LEFT(Table1[[#This Row],[Eelarvekonto]],2)</f>
        <v>50</v>
      </c>
      <c r="E183" s="41" t="str">
        <f>VLOOKUP(Table1[[#This Row],[Eelarvekonto]],Table5[[Konto]:[Konto nimetus]],2,FALSE)</f>
        <v>Töötajate töötasud</v>
      </c>
      <c r="F183" s="41" t="s">
        <v>139</v>
      </c>
      <c r="G183" s="41" t="s">
        <v>24</v>
      </c>
      <c r="J183" s="41" t="s">
        <v>238</v>
      </c>
      <c r="K183" s="41" t="s">
        <v>94</v>
      </c>
      <c r="L183" s="58" t="s">
        <v>237</v>
      </c>
      <c r="M183" s="58" t="str">
        <f>LEFT(Table1[[#This Row],[Tegevusala kood]],2)</f>
        <v>08</v>
      </c>
      <c r="N183" s="41" t="str">
        <f>VLOOKUP(Table1[[#This Row],[Tegevusala kood]],Table4[[Tegevusala kood]:[Tegevusala alanimetus]],2,FALSE)</f>
        <v>Ulvi Raamatukogu</v>
      </c>
      <c r="O183" s="41" t="s">
        <v>1</v>
      </c>
      <c r="P183" s="41" t="s">
        <v>1</v>
      </c>
      <c r="Q183" s="41" t="str">
        <f>VLOOKUP(Table1[[#This Row],[Eelarvekonto]],Table5[[Konto]:[Kontode alanimetus]],5,FALSE)</f>
        <v>Tööjõukulud</v>
      </c>
      <c r="R183" s="42" t="str">
        <f>VLOOKUP(Table1[[#This Row],[Tegevusala kood]],Table4[[Tegevusala kood]:[Tegevusala alanimetus]],4,FALSE)</f>
        <v>Raamatukogud</v>
      </c>
      <c r="S183" s="53"/>
      <c r="T183" s="53"/>
      <c r="U183" s="53">
        <f>Table1[[#This Row],[Summa]]+Table1[[#This Row],[I Muudatus]]+Table1[[#This Row],[II Muudatus]]</f>
        <v>11664</v>
      </c>
    </row>
    <row r="184" spans="1:21" ht="14.25" hidden="1" customHeight="1" x14ac:dyDescent="0.25">
      <c r="A184" s="41" t="s">
        <v>490</v>
      </c>
      <c r="B184" s="41">
        <v>240</v>
      </c>
      <c r="C184" s="52">
        <v>5514</v>
      </c>
      <c r="D184" s="52" t="str">
        <f>LEFT(Table1[[#This Row],[Eelarvekonto]],2)</f>
        <v>55</v>
      </c>
      <c r="E184" s="41" t="str">
        <f>VLOOKUP(Table1[[#This Row],[Eelarvekonto]],Table5[[Konto]:[Konto nimetus]],2,FALSE)</f>
        <v>Info- ja kommunikatsioonitehnoloogia kulud</v>
      </c>
      <c r="F184" s="41" t="s">
        <v>139</v>
      </c>
      <c r="G184" s="41" t="s">
        <v>24</v>
      </c>
      <c r="J184" s="41" t="s">
        <v>238</v>
      </c>
      <c r="K184" s="41" t="s">
        <v>94</v>
      </c>
      <c r="L184" s="58" t="s">
        <v>237</v>
      </c>
      <c r="M184" s="58" t="str">
        <f>LEFT(Table1[[#This Row],[Tegevusala kood]],2)</f>
        <v>08</v>
      </c>
      <c r="N184" s="41" t="str">
        <f>VLOOKUP(Table1[[#This Row],[Tegevusala kood]],Table4[[Tegevusala kood]:[Tegevusala alanimetus]],2,FALSE)</f>
        <v>Ulvi Raamatukogu</v>
      </c>
      <c r="O184" s="41" t="s">
        <v>1</v>
      </c>
      <c r="P184" s="41" t="s">
        <v>1</v>
      </c>
      <c r="Q184" s="41" t="str">
        <f>VLOOKUP(Table1[[#This Row],[Eelarvekonto]],Table5[[Konto]:[Kontode alanimetus]],5,FALSE)</f>
        <v>Majandamiskulud</v>
      </c>
      <c r="R184" s="42" t="str">
        <f>VLOOKUP(Table1[[#This Row],[Tegevusala kood]],Table4[[Tegevusala kood]:[Tegevusala alanimetus]],4,FALSE)</f>
        <v>Raamatukogud</v>
      </c>
      <c r="S184" s="53"/>
      <c r="T184" s="53"/>
      <c r="U184" s="53">
        <f>Table1[[#This Row],[Summa]]+Table1[[#This Row],[I Muudatus]]+Table1[[#This Row],[II Muudatus]]</f>
        <v>240</v>
      </c>
    </row>
    <row r="185" spans="1:21" ht="14.25" hidden="1" customHeight="1" x14ac:dyDescent="0.25">
      <c r="A185" s="41" t="s">
        <v>491</v>
      </c>
      <c r="B185" s="41">
        <v>100</v>
      </c>
      <c r="C185" s="52">
        <v>5500</v>
      </c>
      <c r="D185" s="41" t="str">
        <f>LEFT(Table1[[#This Row],[Eelarvekonto]],2)</f>
        <v>55</v>
      </c>
      <c r="E185" s="41" t="str">
        <f>VLOOKUP(Table1[[#This Row],[Eelarvekonto]],Table5[[Konto]:[Konto nimetus]],2,FALSE)</f>
        <v>Administreerimiskulud</v>
      </c>
      <c r="F185" s="41" t="s">
        <v>139</v>
      </c>
      <c r="G185" s="41" t="s">
        <v>24</v>
      </c>
      <c r="J185" s="41" t="s">
        <v>238</v>
      </c>
      <c r="K185" s="41" t="s">
        <v>94</v>
      </c>
      <c r="L185" s="58" t="s">
        <v>237</v>
      </c>
      <c r="M185" s="58" t="str">
        <f>LEFT(Table1[[#This Row],[Tegevusala kood]],2)</f>
        <v>08</v>
      </c>
      <c r="N185" s="41" t="str">
        <f>VLOOKUP(Table1[[#This Row],[Tegevusala kood]],Table4[[Tegevusala kood]:[Tegevusala alanimetus]],2,FALSE)</f>
        <v>Ulvi Raamatukogu</v>
      </c>
      <c r="Q185" s="41" t="str">
        <f>VLOOKUP(Table1[[#This Row],[Eelarvekonto]],Table5[[Konto]:[Kontode alanimetus]],5,FALSE)</f>
        <v>Majandamiskulud</v>
      </c>
      <c r="R185" s="42" t="str">
        <f>VLOOKUP(Table1[[#This Row],[Tegevusala kood]],Table4[[Tegevusala kood]:[Tegevusala alanimetus]],4,FALSE)</f>
        <v>Raamatukogud</v>
      </c>
      <c r="S185" s="53"/>
      <c r="T185" s="53"/>
      <c r="U185" s="53">
        <f>Table1[[#This Row],[Summa]]+Table1[[#This Row],[I Muudatus]]+Table1[[#This Row],[II Muudatus]]</f>
        <v>100</v>
      </c>
    </row>
    <row r="186" spans="1:21" ht="14.25" hidden="1" customHeight="1" x14ac:dyDescent="0.25">
      <c r="A186" s="41" t="s">
        <v>1031</v>
      </c>
      <c r="B186" s="41">
        <v>2820</v>
      </c>
      <c r="C186" s="52">
        <v>5526</v>
      </c>
      <c r="D186" s="52" t="str">
        <f>LEFT(Table1[[#This Row],[Eelarvekonto]],2)</f>
        <v>55</v>
      </c>
      <c r="E186" s="41" t="str">
        <f>VLOOKUP(Table1[[#This Row],[Eelarvekonto]],Table5[[Konto]:[Konto nimetus]],2,FALSE)</f>
        <v>Sotsiaalteenused</v>
      </c>
      <c r="F186" s="41" t="s">
        <v>139</v>
      </c>
      <c r="G186" s="41" t="s">
        <v>24</v>
      </c>
      <c r="J186" s="41" t="s">
        <v>365</v>
      </c>
      <c r="K186" s="41" t="s">
        <v>364</v>
      </c>
      <c r="L186" s="58" t="s">
        <v>380</v>
      </c>
      <c r="M186" s="58" t="str">
        <f>LEFT(Table1[[#This Row],[Tegevusala kood]],2)</f>
        <v>10</v>
      </c>
      <c r="N186" s="41" t="str">
        <f>VLOOKUP(Table1[[#This Row],[Tegevusala kood]],Table4[[Tegevusala kood]:[Tegevusala alanimetus]],2,FALSE)</f>
        <v>Ühekordsed toetused</v>
      </c>
      <c r="O186" s="41" t="s">
        <v>1</v>
      </c>
      <c r="P186" s="41" t="s">
        <v>1</v>
      </c>
      <c r="Q186" s="41" t="str">
        <f>VLOOKUP(Table1[[#This Row],[Eelarvekonto]],Table5[[Konto]:[Kontode alanimetus]],5,FALSE)</f>
        <v>Majandamiskulud</v>
      </c>
      <c r="R186" s="42" t="str">
        <f>VLOOKUP(Table1[[#This Row],[Tegevusala kood]],Table4[[Tegevusala kood]:[Tegevusala alanimetus]],4,FALSE)</f>
        <v>Muu perekondade ja laste sotsiaalne kaitse</v>
      </c>
      <c r="S186" s="53"/>
      <c r="T186" s="53"/>
      <c r="U186" s="53">
        <f>Table1[[#This Row],[Summa]]+Table1[[#This Row],[I Muudatus]]+Table1[[#This Row],[II Muudatus]]</f>
        <v>2820</v>
      </c>
    </row>
    <row r="187" spans="1:21" ht="14.25" hidden="1" customHeight="1" x14ac:dyDescent="0.25">
      <c r="A187" s="41" t="s">
        <v>643</v>
      </c>
      <c r="B187" s="41">
        <v>7000</v>
      </c>
      <c r="C187" s="52">
        <v>4130</v>
      </c>
      <c r="D187" s="52" t="str">
        <f>LEFT(Table1[[#This Row],[Eelarvekonto]],2)</f>
        <v>41</v>
      </c>
      <c r="E187" s="41" t="str">
        <f>VLOOKUP(Table1[[#This Row],[Eelarvekonto]],Table5[[Konto]:[Konto nimetus]],2,FALSE)</f>
        <v>Peretoetused</v>
      </c>
      <c r="F187" s="41" t="s">
        <v>139</v>
      </c>
      <c r="G187" s="41" t="s">
        <v>24</v>
      </c>
      <c r="J187" s="41" t="s">
        <v>365</v>
      </c>
      <c r="K187" s="41" t="s">
        <v>364</v>
      </c>
      <c r="L187" s="58" t="s">
        <v>380</v>
      </c>
      <c r="M187" s="58" t="str">
        <f>LEFT(Table1[[#This Row],[Tegevusala kood]],2)</f>
        <v>10</v>
      </c>
      <c r="N187" s="41" t="str">
        <f>VLOOKUP(Table1[[#This Row],[Tegevusala kood]],Table4[[Tegevusala kood]:[Tegevusala alanimetus]],2,FALSE)</f>
        <v>Ühekordsed toetused</v>
      </c>
      <c r="O187" s="41" t="s">
        <v>1</v>
      </c>
      <c r="P187" s="41" t="s">
        <v>1</v>
      </c>
      <c r="Q187" s="41" t="str">
        <f>VLOOKUP(Table1[[#This Row],[Eelarvekonto]],Table5[[Konto]:[Kontode alanimetus]],5,FALSE)</f>
        <v>Sotsiaalabitoetused ja muud toetused füüsilistele isikutele</v>
      </c>
      <c r="R187" s="42" t="str">
        <f>VLOOKUP(Table1[[#This Row],[Tegevusala kood]],Table4[[Tegevusala kood]:[Tegevusala alanimetus]],4,FALSE)</f>
        <v>Muu perekondade ja laste sotsiaalne kaitse</v>
      </c>
      <c r="S187" s="53"/>
      <c r="T187" s="53"/>
      <c r="U187" s="53">
        <f>Table1[[#This Row],[Summa]]+Table1[[#This Row],[I Muudatus]]+Table1[[#This Row],[II Muudatus]]</f>
        <v>7000</v>
      </c>
    </row>
    <row r="188" spans="1:21" ht="14.25" hidden="1" customHeight="1" x14ac:dyDescent="0.25">
      <c r="A188" s="41" t="s">
        <v>381</v>
      </c>
      <c r="B188" s="41">
        <v>3000</v>
      </c>
      <c r="C188" s="52">
        <v>4500</v>
      </c>
      <c r="D188" s="52" t="str">
        <f>LEFT(Table1[[#This Row],[Eelarvekonto]],2)</f>
        <v>45</v>
      </c>
      <c r="E188" s="41" t="str">
        <f>VLOOKUP(Table1[[#This Row],[Eelarvekonto]],Table5[[Konto]:[Konto nimetus]],2,FALSE)</f>
        <v>Antud sihtfinantseerimine tegevuskuludeks</v>
      </c>
      <c r="F188" s="41" t="s">
        <v>139</v>
      </c>
      <c r="G188" s="41" t="s">
        <v>24</v>
      </c>
      <c r="J188" s="41" t="s">
        <v>365</v>
      </c>
      <c r="K188" s="41" t="s">
        <v>364</v>
      </c>
      <c r="L188" s="58" t="s">
        <v>380</v>
      </c>
      <c r="M188" s="58" t="str">
        <f>LEFT(Table1[[#This Row],[Tegevusala kood]],2)</f>
        <v>10</v>
      </c>
      <c r="N188" s="41" t="str">
        <f>VLOOKUP(Table1[[#This Row],[Tegevusala kood]],Table4[[Tegevusala kood]:[Tegevusala alanimetus]],2,FALSE)</f>
        <v>Ühekordsed toetused</v>
      </c>
      <c r="O188" s="41" t="s">
        <v>1</v>
      </c>
      <c r="P188" s="41" t="s">
        <v>1</v>
      </c>
      <c r="Q188" s="41" t="str">
        <f>VLOOKUP(Table1[[#This Row],[Eelarvekonto]],Table5[[Konto]:[Kontode alanimetus]],5,FALSE)</f>
        <v>Sihtotstarbelised toetused tegevuskuludeks</v>
      </c>
      <c r="R188" s="42" t="str">
        <f>VLOOKUP(Table1[[#This Row],[Tegevusala kood]],Table4[[Tegevusala kood]:[Tegevusala alanimetus]],4,FALSE)</f>
        <v>Muu perekondade ja laste sotsiaalne kaitse</v>
      </c>
      <c r="S188" s="53"/>
      <c r="T188" s="53"/>
      <c r="U188" s="53">
        <f>Table1[[#This Row],[Summa]]+Table1[[#This Row],[I Muudatus]]+Table1[[#This Row],[II Muudatus]]</f>
        <v>3000</v>
      </c>
    </row>
    <row r="189" spans="1:21" ht="14.25" hidden="1" customHeight="1" x14ac:dyDescent="0.25">
      <c r="A189" s="41" t="s">
        <v>644</v>
      </c>
      <c r="B189" s="41">
        <v>22000</v>
      </c>
      <c r="C189" s="52">
        <v>4130</v>
      </c>
      <c r="D189" s="52" t="str">
        <f>LEFT(Table1[[#This Row],[Eelarvekonto]],2)</f>
        <v>41</v>
      </c>
      <c r="E189" s="41" t="str">
        <f>VLOOKUP(Table1[[#This Row],[Eelarvekonto]],Table5[[Konto]:[Konto nimetus]],2,FALSE)</f>
        <v>Peretoetused</v>
      </c>
      <c r="F189" s="41" t="s">
        <v>139</v>
      </c>
      <c r="G189" s="41" t="s">
        <v>24</v>
      </c>
      <c r="J189" s="41" t="s">
        <v>365</v>
      </c>
      <c r="K189" s="41" t="s">
        <v>364</v>
      </c>
      <c r="L189" s="58" t="s">
        <v>380</v>
      </c>
      <c r="M189" s="58" t="str">
        <f>LEFT(Table1[[#This Row],[Tegevusala kood]],2)</f>
        <v>10</v>
      </c>
      <c r="N189" s="41" t="str">
        <f>VLOOKUP(Table1[[#This Row],[Tegevusala kood]],Table4[[Tegevusala kood]:[Tegevusala alanimetus]],2,FALSE)</f>
        <v>Ühekordsed toetused</v>
      </c>
      <c r="O189" s="41" t="s">
        <v>1</v>
      </c>
      <c r="P189" s="41" t="s">
        <v>1</v>
      </c>
      <c r="Q189" s="41" t="str">
        <f>VLOOKUP(Table1[[#This Row],[Eelarvekonto]],Table5[[Konto]:[Kontode alanimetus]],5,FALSE)</f>
        <v>Sotsiaalabitoetused ja muud toetused füüsilistele isikutele</v>
      </c>
      <c r="R189" s="42" t="str">
        <f>VLOOKUP(Table1[[#This Row],[Tegevusala kood]],Table4[[Tegevusala kood]:[Tegevusala alanimetus]],4,FALSE)</f>
        <v>Muu perekondade ja laste sotsiaalne kaitse</v>
      </c>
      <c r="S189" s="60"/>
      <c r="T189" s="53"/>
      <c r="U189" s="53">
        <f>Table1[[#This Row],[Summa]]+Table1[[#This Row],[I Muudatus]]+Table1[[#This Row],[II Muudatus]]</f>
        <v>22000</v>
      </c>
    </row>
    <row r="190" spans="1:21" ht="14.25" hidden="1" customHeight="1" x14ac:dyDescent="0.25">
      <c r="A190" s="41" t="s">
        <v>663</v>
      </c>
      <c r="B190" s="41">
        <v>33000</v>
      </c>
      <c r="C190" s="52">
        <v>5005</v>
      </c>
      <c r="D190" s="68" t="str">
        <f>LEFT(Table1[[#This Row],[Eelarvekonto]],2)</f>
        <v>50</v>
      </c>
      <c r="E190" s="41" t="str">
        <f>VLOOKUP(Table1[[#This Row],[Eelarvekonto]],Table5[[Konto]:[Konto nimetus]],2,FALSE)</f>
        <v>Töötasud võlaõiguslike lepingute alusel</v>
      </c>
      <c r="F190" s="41" t="s">
        <v>139</v>
      </c>
      <c r="G190" s="41" t="s">
        <v>24</v>
      </c>
      <c r="J190" s="41" t="s">
        <v>365</v>
      </c>
      <c r="K190" s="41" t="s">
        <v>364</v>
      </c>
      <c r="L190" s="58" t="s">
        <v>660</v>
      </c>
      <c r="M190" s="58" t="str">
        <f>LEFT(Table1[[#This Row],[Tegevusala kood]],2)</f>
        <v>10</v>
      </c>
      <c r="N190" s="41" t="str">
        <f>VLOOKUP(Table1[[#This Row],[Tegevusala kood]],Table4[[Tegevusala kood]:[Tegevusala alanimetus]],2,FALSE)</f>
        <v>Tugiisikud puuetega inimestele</v>
      </c>
      <c r="O190" s="41" t="s">
        <v>1</v>
      </c>
      <c r="P190" s="41" t="s">
        <v>1</v>
      </c>
      <c r="Q190" s="41" t="str">
        <f>VLOOKUP(Table1[[#This Row],[Eelarvekonto]],Table5[[Konto]:[Kontode alanimetus]],5,FALSE)</f>
        <v>Tööjõukulud</v>
      </c>
      <c r="R190" s="42" t="str">
        <f>VLOOKUP(Table1[[#This Row],[Tegevusala kood]],Table4[[Tegevusala kood]:[Tegevusala alanimetus]],4,FALSE)</f>
        <v>Muu puuetega inimeste sotsiaalne kaitse</v>
      </c>
      <c r="S190" s="53"/>
      <c r="T190" s="53"/>
      <c r="U190" s="53">
        <f>Table1[[#This Row],[Summa]]+Table1[[#This Row],[I Muudatus]]+Table1[[#This Row],[II Muudatus]]</f>
        <v>33000</v>
      </c>
    </row>
    <row r="191" spans="1:21" ht="14.25" hidden="1" customHeight="1" x14ac:dyDescent="0.25">
      <c r="A191" s="41" t="s">
        <v>665</v>
      </c>
      <c r="B191" s="41">
        <v>1100</v>
      </c>
      <c r="C191" s="52">
        <v>5513081</v>
      </c>
      <c r="D191" s="41" t="str">
        <f>LEFT(Table1[[#This Row],[Eelarvekonto]],2)</f>
        <v>55</v>
      </c>
      <c r="E191" s="41" t="str">
        <f>VLOOKUP(Table1[[#This Row],[Eelarvekonto]],Table5[[Konto]:[Konto nimetus]],2,FALSE)</f>
        <v>Isikliku sõiduauto kompensatsioon</v>
      </c>
      <c r="F191" s="41" t="s">
        <v>139</v>
      </c>
      <c r="G191" s="41" t="s">
        <v>24</v>
      </c>
      <c r="J191" s="41" t="s">
        <v>365</v>
      </c>
      <c r="K191" s="41" t="s">
        <v>364</v>
      </c>
      <c r="L191" s="58" t="s">
        <v>660</v>
      </c>
      <c r="M191" s="58" t="str">
        <f>LEFT(Table1[[#This Row],[Tegevusala kood]],2)</f>
        <v>10</v>
      </c>
      <c r="N191" s="41" t="str">
        <f>VLOOKUP(Table1[[#This Row],[Tegevusala kood]],Table4[[Tegevusala kood]:[Tegevusala alanimetus]],2,FALSE)</f>
        <v>Tugiisikud puuetega inimestele</v>
      </c>
      <c r="O191" s="41" t="s">
        <v>1</v>
      </c>
      <c r="P191" s="41" t="s">
        <v>1</v>
      </c>
      <c r="Q191" s="41" t="str">
        <f>VLOOKUP(Table1[[#This Row],[Eelarvekonto]],Table5[[Konto]:[Kontode alanimetus]],5,FALSE)</f>
        <v>Majandamiskulud</v>
      </c>
      <c r="R191" s="42" t="str">
        <f>VLOOKUP(Table1[[#This Row],[Tegevusala kood]],Table4[[Tegevusala kood]:[Tegevusala alanimetus]],4,FALSE)</f>
        <v>Muu puuetega inimeste sotsiaalne kaitse</v>
      </c>
      <c r="S191" s="53"/>
      <c r="T191" s="53"/>
      <c r="U191" s="53">
        <f>Table1[[#This Row],[Summa]]+Table1[[#This Row],[I Muudatus]]+Table1[[#This Row],[II Muudatus]]</f>
        <v>1100</v>
      </c>
    </row>
    <row r="192" spans="1:21" ht="14.25" hidden="1" customHeight="1" x14ac:dyDescent="0.25">
      <c r="A192" s="41" t="s">
        <v>664</v>
      </c>
      <c r="B192" s="41">
        <v>1632</v>
      </c>
      <c r="C192" s="52">
        <v>5513081</v>
      </c>
      <c r="D192" s="41" t="str">
        <f>LEFT(Table1[[#This Row],[Eelarvekonto]],2)</f>
        <v>55</v>
      </c>
      <c r="E192" s="41" t="str">
        <f>VLOOKUP(Table1[[#This Row],[Eelarvekonto]],Table5[[Konto]:[Konto nimetus]],2,FALSE)</f>
        <v>Isikliku sõiduauto kompensatsioon</v>
      </c>
      <c r="F192" s="41" t="s">
        <v>139</v>
      </c>
      <c r="G192" s="41" t="s">
        <v>24</v>
      </c>
      <c r="J192" s="41" t="s">
        <v>365</v>
      </c>
      <c r="K192" s="41" t="s">
        <v>364</v>
      </c>
      <c r="L192" s="58" t="s">
        <v>660</v>
      </c>
      <c r="M192" s="58" t="str">
        <f>LEFT(Table1[[#This Row],[Tegevusala kood]],2)</f>
        <v>10</v>
      </c>
      <c r="N192" s="41" t="str">
        <f>VLOOKUP(Table1[[#This Row],[Tegevusala kood]],Table4[[Tegevusala kood]:[Tegevusala alanimetus]],2,FALSE)</f>
        <v>Tugiisikud puuetega inimestele</v>
      </c>
      <c r="O192" s="41" t="s">
        <v>1</v>
      </c>
      <c r="P192" s="41" t="s">
        <v>1</v>
      </c>
      <c r="Q192" s="41" t="str">
        <f>VLOOKUP(Table1[[#This Row],[Eelarvekonto]],Table5[[Konto]:[Kontode alanimetus]],5,FALSE)</f>
        <v>Majandamiskulud</v>
      </c>
      <c r="R192" s="42" t="str">
        <f>VLOOKUP(Table1[[#This Row],[Tegevusala kood]],Table4[[Tegevusala kood]:[Tegevusala alanimetus]],4,FALSE)</f>
        <v>Muu puuetega inimeste sotsiaalne kaitse</v>
      </c>
      <c r="S192" s="53"/>
      <c r="T192" s="53"/>
      <c r="U192" s="53">
        <f>Table1[[#This Row],[Summa]]+Table1[[#This Row],[I Muudatus]]+Table1[[#This Row],[II Muudatus]]</f>
        <v>1632</v>
      </c>
    </row>
    <row r="193" spans="1:21" ht="14.25" hidden="1" customHeight="1" x14ac:dyDescent="0.25">
      <c r="A193" s="41" t="s">
        <v>158</v>
      </c>
      <c r="B193" s="41">
        <v>18130.32</v>
      </c>
      <c r="C193" s="52">
        <v>506</v>
      </c>
      <c r="D193" s="52" t="str">
        <f>LEFT(Table1[[#This Row],[Eelarvekonto]],2)</f>
        <v>50</v>
      </c>
      <c r="E193" s="41" t="str">
        <f>VLOOKUP(Table1[[#This Row],[Eelarvekonto]],Table5[[Konto]:[Konto nimetus]],2,FALSE)</f>
        <v>Tööjõukuludega kaasnevad maksud ja sotsiaalkindlustusmaksed</v>
      </c>
      <c r="F193" s="41" t="s">
        <v>139</v>
      </c>
      <c r="G193" s="41" t="s">
        <v>24</v>
      </c>
      <c r="J193" s="41" t="s">
        <v>365</v>
      </c>
      <c r="K193" s="41" t="s">
        <v>364</v>
      </c>
      <c r="L193" s="58" t="s">
        <v>660</v>
      </c>
      <c r="M193" s="58" t="str">
        <f>LEFT(Table1[[#This Row],[Tegevusala kood]],2)</f>
        <v>10</v>
      </c>
      <c r="N193" s="41" t="str">
        <f>VLOOKUP(Table1[[#This Row],[Tegevusala kood]],Table4[[Tegevusala kood]:[Tegevusala alanimetus]],2,FALSE)</f>
        <v>Tugiisikud puuetega inimestele</v>
      </c>
      <c r="O193" s="41" t="s">
        <v>1</v>
      </c>
      <c r="P193" s="41" t="s">
        <v>1</v>
      </c>
      <c r="Q193" s="41" t="str">
        <f>VLOOKUP(Table1[[#This Row],[Eelarvekonto]],Table5[[Konto]:[Kontode alanimetus]],5,FALSE)</f>
        <v>Tööjõukulud</v>
      </c>
      <c r="R193" s="42" t="str">
        <f>VLOOKUP(Table1[[#This Row],[Tegevusala kood]],Table4[[Tegevusala kood]:[Tegevusala alanimetus]],4,FALSE)</f>
        <v>Muu puuetega inimeste sotsiaalne kaitse</v>
      </c>
      <c r="S193" s="53"/>
      <c r="T193" s="53"/>
      <c r="U193" s="53">
        <f>Table1[[#This Row],[Summa]]+Table1[[#This Row],[I Muudatus]]+Table1[[#This Row],[II Muudatus]]</f>
        <v>18130.32</v>
      </c>
    </row>
    <row r="194" spans="1:21" ht="14.25" hidden="1" customHeight="1" x14ac:dyDescent="0.25">
      <c r="A194" s="41" t="s">
        <v>662</v>
      </c>
      <c r="B194" s="41">
        <v>9600</v>
      </c>
      <c r="C194" s="52">
        <v>5002</v>
      </c>
      <c r="D194" s="52" t="str">
        <f>LEFT(Table1[[#This Row],[Eelarvekonto]],2)</f>
        <v>50</v>
      </c>
      <c r="E194" s="41" t="str">
        <f>VLOOKUP(Table1[[#This Row],[Eelarvekonto]],Table5[[Konto]:[Konto nimetus]],2,FALSE)</f>
        <v>Töötajate töötasud</v>
      </c>
      <c r="F194" s="41" t="s">
        <v>139</v>
      </c>
      <c r="G194" s="41" t="s">
        <v>24</v>
      </c>
      <c r="J194" s="41" t="s">
        <v>365</v>
      </c>
      <c r="K194" s="41" t="s">
        <v>364</v>
      </c>
      <c r="L194" s="58" t="s">
        <v>660</v>
      </c>
      <c r="M194" s="58" t="str">
        <f>LEFT(Table1[[#This Row],[Tegevusala kood]],2)</f>
        <v>10</v>
      </c>
      <c r="N194" s="41" t="str">
        <f>VLOOKUP(Table1[[#This Row],[Tegevusala kood]],Table4[[Tegevusala kood]:[Tegevusala alanimetus]],2,FALSE)</f>
        <v>Tugiisikud puuetega inimestele</v>
      </c>
      <c r="O194" s="41" t="s">
        <v>1</v>
      </c>
      <c r="P194" s="41" t="s">
        <v>1</v>
      </c>
      <c r="Q194" s="41" t="str">
        <f>VLOOKUP(Table1[[#This Row],[Eelarvekonto]],Table5[[Konto]:[Kontode alanimetus]],5,FALSE)</f>
        <v>Tööjõukulud</v>
      </c>
      <c r="R194" s="42" t="str">
        <f>VLOOKUP(Table1[[#This Row],[Tegevusala kood]],Table4[[Tegevusala kood]:[Tegevusala alanimetus]],4,FALSE)</f>
        <v>Muu puuetega inimeste sotsiaalne kaitse</v>
      </c>
      <c r="S194" s="53"/>
      <c r="T194" s="53"/>
      <c r="U194" s="53">
        <f>Table1[[#This Row],[Summa]]+Table1[[#This Row],[I Muudatus]]+Table1[[#This Row],[II Muudatus]]</f>
        <v>9600</v>
      </c>
    </row>
    <row r="195" spans="1:21" ht="14.25" hidden="1" customHeight="1" x14ac:dyDescent="0.25">
      <c r="A195" s="41" t="s">
        <v>661</v>
      </c>
      <c r="B195" s="41">
        <v>11040</v>
      </c>
      <c r="C195" s="52">
        <v>5002</v>
      </c>
      <c r="D195" s="52" t="str">
        <f>LEFT(Table1[[#This Row],[Eelarvekonto]],2)</f>
        <v>50</v>
      </c>
      <c r="E195" s="41" t="str">
        <f>VLOOKUP(Table1[[#This Row],[Eelarvekonto]],Table5[[Konto]:[Konto nimetus]],2,FALSE)</f>
        <v>Töötajate töötasud</v>
      </c>
      <c r="F195" s="41" t="s">
        <v>139</v>
      </c>
      <c r="G195" s="41" t="s">
        <v>24</v>
      </c>
      <c r="J195" s="41" t="s">
        <v>365</v>
      </c>
      <c r="K195" s="41" t="s">
        <v>364</v>
      </c>
      <c r="L195" s="58" t="s">
        <v>660</v>
      </c>
      <c r="M195" s="58" t="str">
        <f>LEFT(Table1[[#This Row],[Tegevusala kood]],2)</f>
        <v>10</v>
      </c>
      <c r="N195" s="41" t="str">
        <f>VLOOKUP(Table1[[#This Row],[Tegevusala kood]],Table4[[Tegevusala kood]:[Tegevusala alanimetus]],2,FALSE)</f>
        <v>Tugiisikud puuetega inimestele</v>
      </c>
      <c r="O195" s="41" t="s">
        <v>1</v>
      </c>
      <c r="P195" s="41" t="s">
        <v>1</v>
      </c>
      <c r="Q195" s="41" t="str">
        <f>VLOOKUP(Table1[[#This Row],[Eelarvekonto]],Table5[[Konto]:[Kontode alanimetus]],5,FALSE)</f>
        <v>Tööjõukulud</v>
      </c>
      <c r="R195" s="42" t="str">
        <f>VLOOKUP(Table1[[#This Row],[Tegevusala kood]],Table4[[Tegevusala kood]:[Tegevusala alanimetus]],4,FALSE)</f>
        <v>Muu puuetega inimeste sotsiaalne kaitse</v>
      </c>
      <c r="S195" s="53"/>
      <c r="T195" s="53"/>
      <c r="U195" s="53">
        <f>Table1[[#This Row],[Summa]]+Table1[[#This Row],[I Muudatus]]+Table1[[#This Row],[II Muudatus]]</f>
        <v>11040</v>
      </c>
    </row>
    <row r="196" spans="1:21" ht="14.25" hidden="1" customHeight="1" x14ac:dyDescent="0.25">
      <c r="A196" s="41" t="s">
        <v>397</v>
      </c>
      <c r="B196" s="41">
        <v>11000</v>
      </c>
      <c r="C196" s="52">
        <v>4133</v>
      </c>
      <c r="D196" s="41" t="str">
        <f>LEFT(Table1[[#This Row],[Eelarvekonto]],2)</f>
        <v>41</v>
      </c>
      <c r="E196" s="41" t="str">
        <f>VLOOKUP(Table1[[#This Row],[Eelarvekonto]],Table5[[Konto]:[Konto nimetus]],2,FALSE)</f>
        <v>Toetused puudega inimestele ja nende hooldajatele</v>
      </c>
      <c r="F196" s="41" t="s">
        <v>139</v>
      </c>
      <c r="G196" s="41" t="s">
        <v>24</v>
      </c>
      <c r="J196" s="41" t="s">
        <v>365</v>
      </c>
      <c r="K196" s="41" t="s">
        <v>364</v>
      </c>
      <c r="L196" s="58" t="s">
        <v>395</v>
      </c>
      <c r="M196" s="58" t="str">
        <f>LEFT(Table1[[#This Row],[Tegevusala kood]],2)</f>
        <v>10</v>
      </c>
      <c r="N196" s="41" t="str">
        <f>VLOOKUP(Table1[[#This Row],[Tegevusala kood]],Table4[[Tegevusala kood]:[Tegevusala alanimetus]],2,FALSE)</f>
        <v>Muud</v>
      </c>
      <c r="O196" s="41" t="s">
        <v>1</v>
      </c>
      <c r="P196" s="41" t="s">
        <v>1</v>
      </c>
      <c r="Q196" s="41" t="str">
        <f>VLOOKUP(Table1[[#This Row],[Eelarvekonto]],Table5[[Konto]:[Kontode alanimetus]],5,FALSE)</f>
        <v>Sotsiaalabitoetused ja muud toetused füüsilistele isikutele</v>
      </c>
      <c r="R196" s="42" t="str">
        <f>VLOOKUP(Table1[[#This Row],[Tegevusala kood]],Table4[[Tegevusala kood]:[Tegevusala alanimetus]],4,FALSE)</f>
        <v>Muu puuetega inimeste sotsiaalne kaitse</v>
      </c>
      <c r="S196" s="53"/>
      <c r="T196" s="53"/>
      <c r="U196" s="53">
        <f>Table1[[#This Row],[Summa]]+Table1[[#This Row],[I Muudatus]]+Table1[[#This Row],[II Muudatus]]</f>
        <v>11000</v>
      </c>
    </row>
    <row r="197" spans="1:21" ht="14.25" hidden="1" customHeight="1" x14ac:dyDescent="0.25">
      <c r="A197" s="41" t="s">
        <v>671</v>
      </c>
      <c r="B197" s="41">
        <v>3000</v>
      </c>
      <c r="C197" s="52">
        <v>4500</v>
      </c>
      <c r="D197" s="52" t="str">
        <f>LEFT(Table1[[#This Row],[Eelarvekonto]],2)</f>
        <v>45</v>
      </c>
      <c r="E197" s="41" t="str">
        <f>VLOOKUP(Table1[[#This Row],[Eelarvekonto]],Table5[[Konto]:[Konto nimetus]],2,FALSE)</f>
        <v>Antud sihtfinantseerimine tegevuskuludeks</v>
      </c>
      <c r="F197" s="41" t="s">
        <v>139</v>
      </c>
      <c r="G197" s="41" t="s">
        <v>24</v>
      </c>
      <c r="J197" s="41" t="s">
        <v>365</v>
      </c>
      <c r="K197" s="41" t="s">
        <v>364</v>
      </c>
      <c r="L197" s="58" t="s">
        <v>395</v>
      </c>
      <c r="M197" s="58" t="str">
        <f>LEFT(Table1[[#This Row],[Tegevusala kood]],2)</f>
        <v>10</v>
      </c>
      <c r="N197" s="41" t="str">
        <f>VLOOKUP(Table1[[#This Row],[Tegevusala kood]],Table4[[Tegevusala kood]:[Tegevusala alanimetus]],2,FALSE)</f>
        <v>Muud</v>
      </c>
      <c r="O197" s="41" t="s">
        <v>1</v>
      </c>
      <c r="P197" s="41" t="s">
        <v>1</v>
      </c>
      <c r="Q197" s="41" t="str">
        <f>VLOOKUP(Table1[[#This Row],[Eelarvekonto]],Table5[[Konto]:[Kontode alanimetus]],5,FALSE)</f>
        <v>Sihtotstarbelised toetused tegevuskuludeks</v>
      </c>
      <c r="R197" s="42" t="str">
        <f>VLOOKUP(Table1[[#This Row],[Tegevusala kood]],Table4[[Tegevusala kood]:[Tegevusala alanimetus]],4,FALSE)</f>
        <v>Muu puuetega inimeste sotsiaalne kaitse</v>
      </c>
      <c r="S197" s="53"/>
      <c r="T197" s="53"/>
      <c r="U197" s="53">
        <f>Table1[[#This Row],[Summa]]+Table1[[#This Row],[I Muudatus]]+Table1[[#This Row],[II Muudatus]]</f>
        <v>3000</v>
      </c>
    </row>
    <row r="198" spans="1:21" ht="14.25" hidden="1" customHeight="1" x14ac:dyDescent="0.25">
      <c r="A198" s="41" t="s">
        <v>1032</v>
      </c>
      <c r="B198" s="41">
        <v>221.64</v>
      </c>
      <c r="C198" s="52">
        <v>5511</v>
      </c>
      <c r="D198" s="41" t="str">
        <f>LEFT(Table1[[#This Row],[Eelarvekonto]],2)</f>
        <v>55</v>
      </c>
      <c r="E198" s="41" t="str">
        <f>VLOOKUP(Table1[[#This Row],[Eelarvekonto]],Table5[[Konto]:[Konto nimetus]],2,FALSE)</f>
        <v>Kinnistute, hoonete ja ruumide majandamiskulud</v>
      </c>
      <c r="F198" s="41" t="s">
        <v>139</v>
      </c>
      <c r="G198" s="41" t="s">
        <v>24</v>
      </c>
      <c r="J198" s="41" t="s">
        <v>212</v>
      </c>
      <c r="K198" s="41" t="s">
        <v>210</v>
      </c>
      <c r="L198" s="58" t="s">
        <v>211</v>
      </c>
      <c r="M198" s="58" t="str">
        <f>LEFT(Table1[[#This Row],[Tegevusala kood]],2)</f>
        <v>08</v>
      </c>
      <c r="N198" s="41" t="str">
        <f>VLOOKUP(Table1[[#This Row],[Tegevusala kood]],Table4[[Tegevusala kood]:[Tegevusala alanimetus]],2,FALSE)</f>
        <v>Pajusti klubi</v>
      </c>
      <c r="O198" s="41" t="s">
        <v>1</v>
      </c>
      <c r="P198" s="41" t="s">
        <v>1</v>
      </c>
      <c r="Q198" s="41" t="str">
        <f>VLOOKUP(Table1[[#This Row],[Eelarvekonto]],Table5[[Konto]:[Kontode alanimetus]],5,FALSE)</f>
        <v>Majandamiskulud</v>
      </c>
      <c r="R198" s="42" t="str">
        <f>VLOOKUP(Table1[[#This Row],[Tegevusala kood]],Table4[[Tegevusala kood]:[Tegevusala alanimetus]],4,FALSE)</f>
        <v>Rahvakultuur</v>
      </c>
      <c r="S198" s="53"/>
      <c r="T198" s="53"/>
      <c r="U198" s="53">
        <f>Table1[[#This Row],[Summa]]+Table1[[#This Row],[I Muudatus]]+Table1[[#This Row],[II Muudatus]]</f>
        <v>221.64</v>
      </c>
    </row>
    <row r="199" spans="1:21" ht="14.25" hidden="1" customHeight="1" x14ac:dyDescent="0.25">
      <c r="A199" s="41" t="s">
        <v>197</v>
      </c>
      <c r="B199" s="41">
        <v>2880</v>
      </c>
      <c r="C199" s="52">
        <v>5513081</v>
      </c>
      <c r="D199" s="52" t="str">
        <f>LEFT(Table1[[#This Row],[Eelarvekonto]],2)</f>
        <v>55</v>
      </c>
      <c r="E199" s="41" t="str">
        <f>VLOOKUP(Table1[[#This Row],[Eelarvekonto]],Table5[[Konto]:[Konto nimetus]],2,FALSE)</f>
        <v>Isikliku sõiduauto kompensatsioon</v>
      </c>
      <c r="F199" s="41" t="s">
        <v>139</v>
      </c>
      <c r="G199" s="41" t="s">
        <v>24</v>
      </c>
      <c r="J199" s="41" t="s">
        <v>212</v>
      </c>
      <c r="K199" s="41" t="s">
        <v>210</v>
      </c>
      <c r="L199" s="58" t="s">
        <v>211</v>
      </c>
      <c r="M199" s="58" t="str">
        <f>LEFT(Table1[[#This Row],[Tegevusala kood]],2)</f>
        <v>08</v>
      </c>
      <c r="N199" s="41" t="str">
        <f>VLOOKUP(Table1[[#This Row],[Tegevusala kood]],Table4[[Tegevusala kood]:[Tegevusala alanimetus]],2,FALSE)</f>
        <v>Pajusti klubi</v>
      </c>
      <c r="O199" s="41" t="s">
        <v>1</v>
      </c>
      <c r="P199" s="41" t="s">
        <v>1</v>
      </c>
      <c r="Q199" s="41" t="str">
        <f>VLOOKUP(Table1[[#This Row],[Eelarvekonto]],Table5[[Konto]:[Kontode alanimetus]],5,FALSE)</f>
        <v>Majandamiskulud</v>
      </c>
      <c r="R199" s="42" t="str">
        <f>VLOOKUP(Table1[[#This Row],[Tegevusala kood]],Table4[[Tegevusala kood]:[Tegevusala alanimetus]],4,FALSE)</f>
        <v>Rahvakultuur</v>
      </c>
      <c r="S199" s="53"/>
      <c r="T199" s="53"/>
      <c r="U199" s="53">
        <f>Table1[[#This Row],[Summa]]+Table1[[#This Row],[I Muudatus]]+Table1[[#This Row],[II Muudatus]]</f>
        <v>2880</v>
      </c>
    </row>
    <row r="200" spans="1:21" ht="14.25" hidden="1" customHeight="1" x14ac:dyDescent="0.25">
      <c r="A200" s="41" t="s">
        <v>469</v>
      </c>
      <c r="B200" s="41">
        <v>7848</v>
      </c>
      <c r="C200" s="52">
        <v>5002</v>
      </c>
      <c r="D200" s="52" t="str">
        <f>LEFT(Table1[[#This Row],[Eelarvekonto]],2)</f>
        <v>50</v>
      </c>
      <c r="E200" s="41" t="str">
        <f>VLOOKUP(Table1[[#This Row],[Eelarvekonto]],Table5[[Konto]:[Konto nimetus]],2,FALSE)</f>
        <v>Töötajate töötasud</v>
      </c>
      <c r="F200" s="41" t="s">
        <v>139</v>
      </c>
      <c r="G200" s="41" t="s">
        <v>24</v>
      </c>
      <c r="J200" s="41" t="s">
        <v>212</v>
      </c>
      <c r="K200" s="41" t="s">
        <v>210</v>
      </c>
      <c r="L200" s="58" t="s">
        <v>211</v>
      </c>
      <c r="M200" s="58" t="str">
        <f>LEFT(Table1[[#This Row],[Tegevusala kood]],2)</f>
        <v>08</v>
      </c>
      <c r="N200" s="41" t="str">
        <f>VLOOKUP(Table1[[#This Row],[Tegevusala kood]],Table4[[Tegevusala kood]:[Tegevusala alanimetus]],2,FALSE)</f>
        <v>Pajusti klubi</v>
      </c>
      <c r="O200" s="41" t="s">
        <v>1</v>
      </c>
      <c r="P200" s="41" t="s">
        <v>1</v>
      </c>
      <c r="Q200" s="41" t="str">
        <f>VLOOKUP(Table1[[#This Row],[Eelarvekonto]],Table5[[Konto]:[Kontode alanimetus]],5,FALSE)</f>
        <v>Tööjõukulud</v>
      </c>
      <c r="R200" s="42" t="str">
        <f>VLOOKUP(Table1[[#This Row],[Tegevusala kood]],Table4[[Tegevusala kood]:[Tegevusala alanimetus]],4,FALSE)</f>
        <v>Rahvakultuur</v>
      </c>
      <c r="S200" s="53"/>
      <c r="T200" s="53"/>
      <c r="U200" s="53">
        <f>Table1[[#This Row],[Summa]]+Table1[[#This Row],[I Muudatus]]+Table1[[#This Row],[II Muudatus]]</f>
        <v>7848</v>
      </c>
    </row>
    <row r="201" spans="1:21" ht="14.25" hidden="1" customHeight="1" x14ac:dyDescent="0.25">
      <c r="A201" s="41" t="s">
        <v>158</v>
      </c>
      <c r="B201" s="41">
        <v>12640.52</v>
      </c>
      <c r="C201" s="52">
        <v>506</v>
      </c>
      <c r="D201" s="52" t="str">
        <f>LEFT(Table1[[#This Row],[Eelarvekonto]],2)</f>
        <v>50</v>
      </c>
      <c r="E201" s="41" t="str">
        <f>VLOOKUP(Table1[[#This Row],[Eelarvekonto]],Table5[[Konto]:[Konto nimetus]],2,FALSE)</f>
        <v>Tööjõukuludega kaasnevad maksud ja sotsiaalkindlustusmaksed</v>
      </c>
      <c r="F201" s="41" t="s">
        <v>139</v>
      </c>
      <c r="G201" s="41" t="s">
        <v>24</v>
      </c>
      <c r="J201" s="41" t="s">
        <v>212</v>
      </c>
      <c r="K201" s="41" t="s">
        <v>210</v>
      </c>
      <c r="L201" s="58" t="s">
        <v>211</v>
      </c>
      <c r="M201" s="58" t="str">
        <f>LEFT(Table1[[#This Row],[Tegevusala kood]],2)</f>
        <v>08</v>
      </c>
      <c r="N201" s="41" t="str">
        <f>VLOOKUP(Table1[[#This Row],[Tegevusala kood]],Table4[[Tegevusala kood]:[Tegevusala alanimetus]],2,FALSE)</f>
        <v>Pajusti klubi</v>
      </c>
      <c r="O201" s="68"/>
      <c r="P201" s="41" t="s">
        <v>1</v>
      </c>
      <c r="Q201" s="41" t="str">
        <f>VLOOKUP(Table1[[#This Row],[Eelarvekonto]],Table5[[Konto]:[Kontode alanimetus]],5,FALSE)</f>
        <v>Tööjõukulud</v>
      </c>
      <c r="R201" s="42" t="str">
        <f>VLOOKUP(Table1[[#This Row],[Tegevusala kood]],Table4[[Tegevusala kood]:[Tegevusala alanimetus]],4,FALSE)</f>
        <v>Rahvakultuur</v>
      </c>
      <c r="S201" s="53"/>
      <c r="T201" s="53"/>
      <c r="U201" s="53">
        <f>Table1[[#This Row],[Summa]]+Table1[[#This Row],[I Muudatus]]+Table1[[#This Row],[II Muudatus]]</f>
        <v>12640.52</v>
      </c>
    </row>
    <row r="202" spans="1:21" ht="14.25" hidden="1" customHeight="1" x14ac:dyDescent="0.25">
      <c r="A202" s="41" t="s">
        <v>201</v>
      </c>
      <c r="B202" s="41">
        <v>7776</v>
      </c>
      <c r="C202" s="52">
        <v>5005</v>
      </c>
      <c r="D202" s="52" t="str">
        <f>LEFT(Table1[[#This Row],[Eelarvekonto]],2)</f>
        <v>50</v>
      </c>
      <c r="E202" s="41" t="str">
        <f>VLOOKUP(Table1[[#This Row],[Eelarvekonto]],Table5[[Konto]:[Konto nimetus]],2,FALSE)</f>
        <v>Töötasud võlaõiguslike lepingute alusel</v>
      </c>
      <c r="F202" s="41" t="s">
        <v>139</v>
      </c>
      <c r="G202" s="41" t="s">
        <v>24</v>
      </c>
      <c r="J202" s="41" t="s">
        <v>212</v>
      </c>
      <c r="K202" s="41" t="s">
        <v>210</v>
      </c>
      <c r="L202" s="58" t="s">
        <v>211</v>
      </c>
      <c r="M202" s="58" t="str">
        <f>LEFT(Table1[[#This Row],[Tegevusala kood]],2)</f>
        <v>08</v>
      </c>
      <c r="N202" s="41" t="str">
        <f>VLOOKUP(Table1[[#This Row],[Tegevusala kood]],Table4[[Tegevusala kood]:[Tegevusala alanimetus]],2,FALSE)</f>
        <v>Pajusti klubi</v>
      </c>
      <c r="O202" s="41" t="s">
        <v>1</v>
      </c>
      <c r="P202" s="41" t="s">
        <v>1</v>
      </c>
      <c r="Q202" s="41" t="str">
        <f>VLOOKUP(Table1[[#This Row],[Eelarvekonto]],Table5[[Konto]:[Kontode alanimetus]],5,FALSE)</f>
        <v>Tööjõukulud</v>
      </c>
      <c r="R202" s="42" t="str">
        <f>VLOOKUP(Table1[[#This Row],[Tegevusala kood]],Table4[[Tegevusala kood]:[Tegevusala alanimetus]],4,FALSE)</f>
        <v>Rahvakultuur</v>
      </c>
      <c r="S202" s="53"/>
      <c r="T202" s="53"/>
      <c r="U202" s="53">
        <f>Table1[[#This Row],[Summa]]+Table1[[#This Row],[I Muudatus]]+Table1[[#This Row],[II Muudatus]]</f>
        <v>7776</v>
      </c>
    </row>
    <row r="203" spans="1:21" ht="14.25" hidden="1" customHeight="1" x14ac:dyDescent="0.25">
      <c r="A203" s="41" t="s">
        <v>201</v>
      </c>
      <c r="B203" s="41">
        <v>1350</v>
      </c>
      <c r="C203" s="52">
        <v>5005</v>
      </c>
      <c r="D203" s="52" t="str">
        <f>LEFT(Table1[[#This Row],[Eelarvekonto]],2)</f>
        <v>50</v>
      </c>
      <c r="E203" s="41" t="str">
        <f>VLOOKUP(Table1[[#This Row],[Eelarvekonto]],Table5[[Konto]:[Konto nimetus]],2,FALSE)</f>
        <v>Töötasud võlaõiguslike lepingute alusel</v>
      </c>
      <c r="F203" s="41" t="s">
        <v>139</v>
      </c>
      <c r="G203" s="41" t="s">
        <v>24</v>
      </c>
      <c r="J203" s="41" t="s">
        <v>212</v>
      </c>
      <c r="K203" s="41" t="s">
        <v>210</v>
      </c>
      <c r="L203" s="58" t="s">
        <v>211</v>
      </c>
      <c r="M203" s="58" t="str">
        <f>LEFT(Table1[[#This Row],[Tegevusala kood]],2)</f>
        <v>08</v>
      </c>
      <c r="N203" s="41" t="str">
        <f>VLOOKUP(Table1[[#This Row],[Tegevusala kood]],Table4[[Tegevusala kood]:[Tegevusala alanimetus]],2,FALSE)</f>
        <v>Pajusti klubi</v>
      </c>
      <c r="O203" s="41" t="s">
        <v>1</v>
      </c>
      <c r="P203" s="41" t="s">
        <v>1</v>
      </c>
      <c r="Q203" s="41" t="str">
        <f>VLOOKUP(Table1[[#This Row],[Eelarvekonto]],Table5[[Konto]:[Kontode alanimetus]],5,FALSE)</f>
        <v>Tööjõukulud</v>
      </c>
      <c r="R203" s="42" t="str">
        <f>VLOOKUP(Table1[[#This Row],[Tegevusala kood]],Table4[[Tegevusala kood]:[Tegevusala alanimetus]],4,FALSE)</f>
        <v>Rahvakultuur</v>
      </c>
      <c r="S203" s="53"/>
      <c r="T203" s="53"/>
      <c r="U203" s="53">
        <f>Table1[[#This Row],[Summa]]+Table1[[#This Row],[I Muudatus]]+Table1[[#This Row],[II Muudatus]]</f>
        <v>1350</v>
      </c>
    </row>
    <row r="204" spans="1:21" ht="14.25" hidden="1" customHeight="1" x14ac:dyDescent="0.25">
      <c r="A204" s="41" t="s">
        <v>488</v>
      </c>
      <c r="B204" s="41">
        <v>6624</v>
      </c>
      <c r="C204" s="52">
        <v>5002</v>
      </c>
      <c r="D204" s="52" t="str">
        <f>LEFT(Table1[[#This Row],[Eelarvekonto]],2)</f>
        <v>50</v>
      </c>
      <c r="E204" s="41" t="str">
        <f>VLOOKUP(Table1[[#This Row],[Eelarvekonto]],Table5[[Konto]:[Konto nimetus]],2,FALSE)</f>
        <v>Töötajate töötasud</v>
      </c>
      <c r="F204" s="41" t="s">
        <v>139</v>
      </c>
      <c r="G204" s="41" t="s">
        <v>24</v>
      </c>
      <c r="J204" s="41" t="s">
        <v>212</v>
      </c>
      <c r="K204" s="41" t="s">
        <v>210</v>
      </c>
      <c r="L204" s="58" t="s">
        <v>211</v>
      </c>
      <c r="M204" s="58" t="str">
        <f>LEFT(Table1[[#This Row],[Tegevusala kood]],2)</f>
        <v>08</v>
      </c>
      <c r="N204" s="41" t="str">
        <f>VLOOKUP(Table1[[#This Row],[Tegevusala kood]],Table4[[Tegevusala kood]:[Tegevusala alanimetus]],2,FALSE)</f>
        <v>Pajusti klubi</v>
      </c>
      <c r="O204" s="41" t="s">
        <v>1</v>
      </c>
      <c r="P204" s="41" t="s">
        <v>1</v>
      </c>
      <c r="Q204" s="41" t="str">
        <f>VLOOKUP(Table1[[#This Row],[Eelarvekonto]],Table5[[Konto]:[Kontode alanimetus]],5,FALSE)</f>
        <v>Tööjõukulud</v>
      </c>
      <c r="R204" s="42" t="str">
        <f>VLOOKUP(Table1[[#This Row],[Tegevusala kood]],Table4[[Tegevusala kood]:[Tegevusala alanimetus]],4,FALSE)</f>
        <v>Rahvakultuur</v>
      </c>
      <c r="S204" s="53"/>
      <c r="T204" s="53"/>
      <c r="U204" s="53">
        <f>Table1[[#This Row],[Summa]]+Table1[[#This Row],[I Muudatus]]+Table1[[#This Row],[II Muudatus]]</f>
        <v>6624</v>
      </c>
    </row>
    <row r="205" spans="1:21" ht="14.25" hidden="1" customHeight="1" x14ac:dyDescent="0.25">
      <c r="A205" s="41" t="s">
        <v>462</v>
      </c>
      <c r="B205" s="41">
        <v>13800</v>
      </c>
      <c r="C205" s="52">
        <v>5002</v>
      </c>
      <c r="D205" s="52" t="str">
        <f>LEFT(Table1[[#This Row],[Eelarvekonto]],2)</f>
        <v>50</v>
      </c>
      <c r="E205" s="41" t="str">
        <f>VLOOKUP(Table1[[#This Row],[Eelarvekonto]],Table5[[Konto]:[Konto nimetus]],2,FALSE)</f>
        <v>Töötajate töötasud</v>
      </c>
      <c r="F205" s="41" t="s">
        <v>139</v>
      </c>
      <c r="G205" s="41" t="s">
        <v>24</v>
      </c>
      <c r="J205" s="41" t="s">
        <v>212</v>
      </c>
      <c r="K205" s="41" t="s">
        <v>210</v>
      </c>
      <c r="L205" s="58" t="s">
        <v>211</v>
      </c>
      <c r="M205" s="58" t="str">
        <f>LEFT(Table1[[#This Row],[Tegevusala kood]],2)</f>
        <v>08</v>
      </c>
      <c r="N205" s="41" t="str">
        <f>VLOOKUP(Table1[[#This Row],[Tegevusala kood]],Table4[[Tegevusala kood]:[Tegevusala alanimetus]],2,FALSE)</f>
        <v>Pajusti klubi</v>
      </c>
      <c r="O205" s="41" t="s">
        <v>1</v>
      </c>
      <c r="P205" s="41" t="s">
        <v>1</v>
      </c>
      <c r="Q205" s="41" t="str">
        <f>VLOOKUP(Table1[[#This Row],[Eelarvekonto]],Table5[[Konto]:[Kontode alanimetus]],5,FALSE)</f>
        <v>Tööjõukulud</v>
      </c>
      <c r="R205" s="42" t="str">
        <f>VLOOKUP(Table1[[#This Row],[Tegevusala kood]],Table4[[Tegevusala kood]:[Tegevusala alanimetus]],4,FALSE)</f>
        <v>Rahvakultuur</v>
      </c>
      <c r="S205" s="53"/>
      <c r="T205" s="53"/>
      <c r="U205" s="53">
        <f>Table1[[#This Row],[Summa]]+Table1[[#This Row],[I Muudatus]]+Table1[[#This Row],[II Muudatus]]</f>
        <v>13800</v>
      </c>
    </row>
    <row r="206" spans="1:21" ht="14.25" hidden="1" customHeight="1" x14ac:dyDescent="0.25">
      <c r="A206" s="41" t="s">
        <v>149</v>
      </c>
      <c r="B206" s="41">
        <v>2520</v>
      </c>
      <c r="C206" s="52">
        <v>551101</v>
      </c>
      <c r="D206" s="52" t="str">
        <f>LEFT(Table1[[#This Row],[Eelarvekonto]],2)</f>
        <v>55</v>
      </c>
      <c r="E206" s="41" t="str">
        <f>VLOOKUP(Table1[[#This Row],[Eelarvekonto]],Table5[[Konto]:[Konto nimetus]],2,FALSE)</f>
        <v>Elekter</v>
      </c>
      <c r="F206" s="41" t="s">
        <v>139</v>
      </c>
      <c r="G206" s="41" t="s">
        <v>24</v>
      </c>
      <c r="J206" s="41" t="s">
        <v>212</v>
      </c>
      <c r="K206" s="41" t="s">
        <v>210</v>
      </c>
      <c r="L206" s="58" t="s">
        <v>211</v>
      </c>
      <c r="M206" s="58" t="str">
        <f>LEFT(Table1[[#This Row],[Tegevusala kood]],2)</f>
        <v>08</v>
      </c>
      <c r="N206" s="41" t="str">
        <f>VLOOKUP(Table1[[#This Row],[Tegevusala kood]],Table4[[Tegevusala kood]:[Tegevusala alanimetus]],2,FALSE)</f>
        <v>Pajusti klubi</v>
      </c>
      <c r="O206" s="41" t="s">
        <v>1</v>
      </c>
      <c r="P206" s="41" t="s">
        <v>1</v>
      </c>
      <c r="Q206" s="41" t="str">
        <f>VLOOKUP(Table1[[#This Row],[Eelarvekonto]],Table5[[Konto]:[Kontode alanimetus]],5,FALSE)</f>
        <v>Majandamiskulud</v>
      </c>
      <c r="R206" s="42" t="str">
        <f>VLOOKUP(Table1[[#This Row],[Tegevusala kood]],Table4[[Tegevusala kood]:[Tegevusala alanimetus]],4,FALSE)</f>
        <v>Rahvakultuur</v>
      </c>
      <c r="S206" s="53"/>
      <c r="T206" s="53"/>
      <c r="U206" s="53">
        <f>Table1[[#This Row],[Summa]]+Table1[[#This Row],[I Muudatus]]+Table1[[#This Row],[II Muudatus]]</f>
        <v>2520</v>
      </c>
    </row>
    <row r="207" spans="1:21" ht="14.25" hidden="1" customHeight="1" x14ac:dyDescent="0.25">
      <c r="A207" s="41" t="s">
        <v>486</v>
      </c>
      <c r="B207" s="41">
        <v>184.08</v>
      </c>
      <c r="C207" s="52">
        <v>5511</v>
      </c>
      <c r="D207" s="52" t="str">
        <f>LEFT(Table1[[#This Row],[Eelarvekonto]],2)</f>
        <v>55</v>
      </c>
      <c r="E207" s="41" t="str">
        <f>VLOOKUP(Table1[[#This Row],[Eelarvekonto]],Table5[[Konto]:[Konto nimetus]],2,FALSE)</f>
        <v>Kinnistute, hoonete ja ruumide majandamiskulud</v>
      </c>
      <c r="F207" s="41" t="s">
        <v>139</v>
      </c>
      <c r="G207" s="41" t="s">
        <v>24</v>
      </c>
      <c r="J207" s="41" t="s">
        <v>212</v>
      </c>
      <c r="K207" s="41" t="s">
        <v>210</v>
      </c>
      <c r="L207" s="58" t="s">
        <v>211</v>
      </c>
      <c r="M207" s="58" t="str">
        <f>LEFT(Table1[[#This Row],[Tegevusala kood]],2)</f>
        <v>08</v>
      </c>
      <c r="N207" s="41" t="str">
        <f>VLOOKUP(Table1[[#This Row],[Tegevusala kood]],Table4[[Tegevusala kood]:[Tegevusala alanimetus]],2,FALSE)</f>
        <v>Pajusti klubi</v>
      </c>
      <c r="O207" s="41" t="s">
        <v>1</v>
      </c>
      <c r="P207" s="41" t="s">
        <v>1</v>
      </c>
      <c r="Q207" s="41" t="str">
        <f>VLOOKUP(Table1[[#This Row],[Eelarvekonto]],Table5[[Konto]:[Kontode alanimetus]],5,FALSE)</f>
        <v>Majandamiskulud</v>
      </c>
      <c r="R207" s="42" t="str">
        <f>VLOOKUP(Table1[[#This Row],[Tegevusala kood]],Table4[[Tegevusala kood]:[Tegevusala alanimetus]],4,FALSE)</f>
        <v>Rahvakultuur</v>
      </c>
      <c r="S207" s="53"/>
      <c r="T207" s="53"/>
      <c r="U207" s="53">
        <f>Table1[[#This Row],[Summa]]+Table1[[#This Row],[I Muudatus]]+Table1[[#This Row],[II Muudatus]]</f>
        <v>184.08</v>
      </c>
    </row>
    <row r="208" spans="1:21" ht="14.25" hidden="1" customHeight="1" x14ac:dyDescent="0.25">
      <c r="A208" s="41" t="s">
        <v>487</v>
      </c>
      <c r="B208" s="41">
        <v>174</v>
      </c>
      <c r="C208" s="52">
        <v>5511</v>
      </c>
      <c r="D208" s="52" t="str">
        <f>LEFT(Table1[[#This Row],[Eelarvekonto]],2)</f>
        <v>55</v>
      </c>
      <c r="E208" s="41" t="str">
        <f>VLOOKUP(Table1[[#This Row],[Eelarvekonto]],Table5[[Konto]:[Konto nimetus]],2,FALSE)</f>
        <v>Kinnistute, hoonete ja ruumide majandamiskulud</v>
      </c>
      <c r="F208" s="41" t="s">
        <v>139</v>
      </c>
      <c r="G208" s="41" t="s">
        <v>24</v>
      </c>
      <c r="J208" s="41" t="s">
        <v>212</v>
      </c>
      <c r="K208" s="41" t="s">
        <v>210</v>
      </c>
      <c r="L208" s="58" t="s">
        <v>211</v>
      </c>
      <c r="M208" s="58" t="str">
        <f>LEFT(Table1[[#This Row],[Tegevusala kood]],2)</f>
        <v>08</v>
      </c>
      <c r="N208" s="41" t="str">
        <f>VLOOKUP(Table1[[#This Row],[Tegevusala kood]],Table4[[Tegevusala kood]:[Tegevusala alanimetus]],2,FALSE)</f>
        <v>Pajusti klubi</v>
      </c>
      <c r="O208" s="41" t="s">
        <v>1</v>
      </c>
      <c r="P208" s="41" t="s">
        <v>1</v>
      </c>
      <c r="Q208" s="41" t="str">
        <f>VLOOKUP(Table1[[#This Row],[Eelarvekonto]],Table5[[Konto]:[Kontode alanimetus]],5,FALSE)</f>
        <v>Majandamiskulud</v>
      </c>
      <c r="R208" s="42" t="str">
        <f>VLOOKUP(Table1[[#This Row],[Tegevusala kood]],Table4[[Tegevusala kood]:[Tegevusala alanimetus]],4,FALSE)</f>
        <v>Rahvakultuur</v>
      </c>
      <c r="S208" s="53"/>
      <c r="T208" s="53"/>
      <c r="U208" s="53">
        <f>Table1[[#This Row],[Summa]]+Table1[[#This Row],[I Muudatus]]+Table1[[#This Row],[II Muudatus]]</f>
        <v>174</v>
      </c>
    </row>
    <row r="209" spans="1:21" ht="14.25" hidden="1" customHeight="1" x14ac:dyDescent="0.25">
      <c r="A209" s="41" t="s">
        <v>148</v>
      </c>
      <c r="B209" s="41">
        <v>10920</v>
      </c>
      <c r="C209" s="52">
        <v>551100</v>
      </c>
      <c r="D209" s="52" t="str">
        <f>LEFT(Table1[[#This Row],[Eelarvekonto]],2)</f>
        <v>55</v>
      </c>
      <c r="E209" s="41" t="str">
        <f>VLOOKUP(Table1[[#This Row],[Eelarvekonto]],Table5[[Konto]:[Konto nimetus]],2,FALSE)</f>
        <v>Küte ja soojusenergia</v>
      </c>
      <c r="F209" s="41" t="s">
        <v>139</v>
      </c>
      <c r="G209" s="41" t="s">
        <v>24</v>
      </c>
      <c r="J209" s="41" t="s">
        <v>212</v>
      </c>
      <c r="K209" s="41" t="s">
        <v>210</v>
      </c>
      <c r="L209" s="58" t="s">
        <v>211</v>
      </c>
      <c r="M209" s="58" t="str">
        <f>LEFT(Table1[[#This Row],[Tegevusala kood]],2)</f>
        <v>08</v>
      </c>
      <c r="N209" s="41" t="str">
        <f>VLOOKUP(Table1[[#This Row],[Tegevusala kood]],Table4[[Tegevusala kood]:[Tegevusala alanimetus]],2,FALSE)</f>
        <v>Pajusti klubi</v>
      </c>
      <c r="O209" s="41" t="s">
        <v>1</v>
      </c>
      <c r="P209" s="41" t="s">
        <v>1</v>
      </c>
      <c r="Q209" s="41" t="str">
        <f>VLOOKUP(Table1[[#This Row],[Eelarvekonto]],Table5[[Konto]:[Kontode alanimetus]],5,FALSE)</f>
        <v>Majandamiskulud</v>
      </c>
      <c r="R209" s="42" t="str">
        <f>VLOOKUP(Table1[[#This Row],[Tegevusala kood]],Table4[[Tegevusala kood]:[Tegevusala alanimetus]],4,FALSE)</f>
        <v>Rahvakultuur</v>
      </c>
      <c r="S209" s="53"/>
      <c r="T209" s="53"/>
      <c r="U209" s="53">
        <f>Table1[[#This Row],[Summa]]+Table1[[#This Row],[I Muudatus]]+Table1[[#This Row],[II Muudatus]]</f>
        <v>10920</v>
      </c>
    </row>
    <row r="210" spans="1:21" ht="14.25" hidden="1" customHeight="1" x14ac:dyDescent="0.25">
      <c r="A210" s="41" t="s">
        <v>150</v>
      </c>
      <c r="B210" s="64">
        <v>420</v>
      </c>
      <c r="C210" s="52">
        <v>551102</v>
      </c>
      <c r="D210" s="52" t="str">
        <f>LEFT(Table1[[#This Row],[Eelarvekonto]],2)</f>
        <v>55</v>
      </c>
      <c r="E210" s="41" t="str">
        <f>VLOOKUP(Table1[[#This Row],[Eelarvekonto]],Table5[[Konto]:[Konto nimetus]],2,FALSE)</f>
        <v>Vesi ja kanalisatsioon</v>
      </c>
      <c r="F210" s="41" t="s">
        <v>139</v>
      </c>
      <c r="G210" s="41" t="s">
        <v>24</v>
      </c>
      <c r="J210" s="41" t="s">
        <v>212</v>
      </c>
      <c r="K210" s="41" t="s">
        <v>210</v>
      </c>
      <c r="L210" s="58" t="s">
        <v>211</v>
      </c>
      <c r="M210" s="58" t="str">
        <f>LEFT(Table1[[#This Row],[Tegevusala kood]],2)</f>
        <v>08</v>
      </c>
      <c r="N210" s="41" t="str">
        <f>VLOOKUP(Table1[[#This Row],[Tegevusala kood]],Table4[[Tegevusala kood]:[Tegevusala alanimetus]],2,FALSE)</f>
        <v>Pajusti klubi</v>
      </c>
      <c r="Q210" s="41" t="str">
        <f>VLOOKUP(Table1[[#This Row],[Eelarvekonto]],Table5[[Konto]:[Kontode alanimetus]],5,FALSE)</f>
        <v>Majandamiskulud</v>
      </c>
      <c r="R210" s="42" t="str">
        <f>VLOOKUP(Table1[[#This Row],[Tegevusala kood]],Table4[[Tegevusala kood]:[Tegevusala alanimetus]],4,FALSE)</f>
        <v>Rahvakultuur</v>
      </c>
      <c r="S210" s="53"/>
      <c r="T210" s="53"/>
      <c r="U210" s="53">
        <f>Table1[[#This Row],[Summa]]+Table1[[#This Row],[I Muudatus]]+Table1[[#This Row],[II Muudatus]]</f>
        <v>420</v>
      </c>
    </row>
    <row r="211" spans="1:21" ht="14.25" hidden="1" customHeight="1" x14ac:dyDescent="0.25">
      <c r="A211" s="41" t="s">
        <v>735</v>
      </c>
      <c r="B211" s="41">
        <v>2520</v>
      </c>
      <c r="C211" s="52">
        <v>5005</v>
      </c>
      <c r="D211" s="52" t="str">
        <f>LEFT(Table1[[#This Row],[Eelarvekonto]],2)</f>
        <v>50</v>
      </c>
      <c r="E211" s="41" t="str">
        <f>VLOOKUP(Table1[[#This Row],[Eelarvekonto]],Table5[[Konto]:[Konto nimetus]],2,FALSE)</f>
        <v>Töötasud võlaõiguslike lepingute alusel</v>
      </c>
      <c r="F211" s="41" t="s">
        <v>139</v>
      </c>
      <c r="G211" s="41" t="s">
        <v>24</v>
      </c>
      <c r="J211" s="41" t="s">
        <v>433</v>
      </c>
      <c r="K211" s="41" t="s">
        <v>432</v>
      </c>
      <c r="L211" s="58" t="s">
        <v>733</v>
      </c>
      <c r="M211" s="58" t="str">
        <f>LEFT(Table1[[#This Row],[Tegevusala kood]],2)</f>
        <v>09</v>
      </c>
      <c r="N211" s="41" t="str">
        <f>VLOOKUP(Table1[[#This Row],[Tegevusala kood]],Table4[[Tegevusala kood]:[Tegevusala alanimetus]],2,FALSE)</f>
        <v>Ujumistreeningud</v>
      </c>
      <c r="O211" s="41" t="s">
        <v>1</v>
      </c>
      <c r="P211" s="41" t="s">
        <v>1</v>
      </c>
      <c r="Q211" s="41" t="str">
        <f>VLOOKUP(Table1[[#This Row],[Eelarvekonto]],Table5[[Konto]:[Kontode alanimetus]],5,FALSE)</f>
        <v>Tööjõukulud</v>
      </c>
      <c r="R211" s="42" t="str">
        <f>VLOOKUP(Table1[[#This Row],[Tegevusala kood]],Table4[[Tegevusala kood]:[Tegevusala alanimetus]],4,FALSE)</f>
        <v>Noorte huviharidus ja huvitegevus</v>
      </c>
      <c r="S211" s="53"/>
      <c r="T211" s="53"/>
      <c r="U211" s="53">
        <f>Table1[[#This Row],[Summa]]+Table1[[#This Row],[I Muudatus]]+Table1[[#This Row],[II Muudatus]]</f>
        <v>2520</v>
      </c>
    </row>
    <row r="212" spans="1:21" ht="14.25" hidden="1" customHeight="1" x14ac:dyDescent="0.25">
      <c r="A212" s="41" t="s">
        <v>734</v>
      </c>
      <c r="B212" s="41">
        <v>6200</v>
      </c>
      <c r="C212" s="52">
        <v>5540</v>
      </c>
      <c r="D212" s="52" t="str">
        <f>LEFT(Table1[[#This Row],[Eelarvekonto]],2)</f>
        <v>55</v>
      </c>
      <c r="E212" s="41" t="str">
        <f>VLOOKUP(Table1[[#This Row],[Eelarvekonto]],Table5[[Konto]:[Konto nimetus]],2,FALSE)</f>
        <v>Mitmesugused majanduskulud</v>
      </c>
      <c r="F212" s="41" t="s">
        <v>139</v>
      </c>
      <c r="G212" s="41" t="s">
        <v>24</v>
      </c>
      <c r="J212" s="41" t="s">
        <v>433</v>
      </c>
      <c r="K212" s="41" t="s">
        <v>432</v>
      </c>
      <c r="L212" s="58" t="s">
        <v>733</v>
      </c>
      <c r="M212" s="58" t="str">
        <f>LEFT(Table1[[#This Row],[Tegevusala kood]],2)</f>
        <v>09</v>
      </c>
      <c r="N212" s="41" t="str">
        <f>VLOOKUP(Table1[[#This Row],[Tegevusala kood]],Table4[[Tegevusala kood]:[Tegevusala alanimetus]],2,FALSE)</f>
        <v>Ujumistreeningud</v>
      </c>
      <c r="O212" s="41" t="s">
        <v>1</v>
      </c>
      <c r="P212" s="41" t="s">
        <v>1</v>
      </c>
      <c r="Q212" s="41" t="str">
        <f>VLOOKUP(Table1[[#This Row],[Eelarvekonto]],Table5[[Konto]:[Kontode alanimetus]],5,FALSE)</f>
        <v>Majandamiskulud</v>
      </c>
      <c r="R212" s="42" t="str">
        <f>VLOOKUP(Table1[[#This Row],[Tegevusala kood]],Table4[[Tegevusala kood]:[Tegevusala alanimetus]],4,FALSE)</f>
        <v>Noorte huviharidus ja huvitegevus</v>
      </c>
      <c r="S212" s="53"/>
      <c r="T212" s="53"/>
      <c r="U212" s="53">
        <f>Table1[[#This Row],[Summa]]+Table1[[#This Row],[I Muudatus]]+Table1[[#This Row],[II Muudatus]]</f>
        <v>6200</v>
      </c>
    </row>
    <row r="213" spans="1:21" ht="14.25" hidden="1" customHeight="1" x14ac:dyDescent="0.25">
      <c r="A213" s="41" t="s">
        <v>736</v>
      </c>
      <c r="B213" s="41">
        <v>851.76</v>
      </c>
      <c r="C213" s="52">
        <v>506</v>
      </c>
      <c r="D213" s="52" t="str">
        <f>LEFT(Table1[[#This Row],[Eelarvekonto]],2)</f>
        <v>50</v>
      </c>
      <c r="E213" s="41" t="str">
        <f>VLOOKUP(Table1[[#This Row],[Eelarvekonto]],Table5[[Konto]:[Konto nimetus]],2,FALSE)</f>
        <v>Tööjõukuludega kaasnevad maksud ja sotsiaalkindlustusmaksed</v>
      </c>
      <c r="F213" s="41" t="s">
        <v>139</v>
      </c>
      <c r="G213" s="41" t="s">
        <v>24</v>
      </c>
      <c r="J213" s="41" t="s">
        <v>433</v>
      </c>
      <c r="K213" s="41" t="s">
        <v>432</v>
      </c>
      <c r="L213" s="58" t="s">
        <v>733</v>
      </c>
      <c r="M213" s="58" t="str">
        <f>LEFT(Table1[[#This Row],[Tegevusala kood]],2)</f>
        <v>09</v>
      </c>
      <c r="N213" s="41" t="str">
        <f>VLOOKUP(Table1[[#This Row],[Tegevusala kood]],Table4[[Tegevusala kood]:[Tegevusala alanimetus]],2,FALSE)</f>
        <v>Ujumistreeningud</v>
      </c>
      <c r="O213" s="41" t="s">
        <v>1</v>
      </c>
      <c r="P213" s="41" t="s">
        <v>1</v>
      </c>
      <c r="Q213" s="41" t="str">
        <f>VLOOKUP(Table1[[#This Row],[Eelarvekonto]],Table5[[Konto]:[Kontode alanimetus]],5,FALSE)</f>
        <v>Tööjõukulud</v>
      </c>
      <c r="R213" s="42" t="str">
        <f>VLOOKUP(Table1[[#This Row],[Tegevusala kood]],Table4[[Tegevusala kood]:[Tegevusala alanimetus]],4,FALSE)</f>
        <v>Noorte huviharidus ja huvitegevus</v>
      </c>
      <c r="S213" s="53"/>
      <c r="T213" s="53"/>
      <c r="U213" s="53">
        <f>Table1[[#This Row],[Summa]]+Table1[[#This Row],[I Muudatus]]+Table1[[#This Row],[II Muudatus]]</f>
        <v>851.76</v>
      </c>
    </row>
    <row r="214" spans="1:21" ht="14.25" hidden="1" customHeight="1" x14ac:dyDescent="0.25">
      <c r="A214" s="41" t="s">
        <v>158</v>
      </c>
      <c r="B214" s="41">
        <v>34433.68</v>
      </c>
      <c r="C214" s="52">
        <v>506</v>
      </c>
      <c r="D214" s="52" t="str">
        <f>LEFT(Table1[[#This Row],[Eelarvekonto]],2)</f>
        <v>50</v>
      </c>
      <c r="E214" s="41" t="str">
        <f>VLOOKUP(Table1[[#This Row],[Eelarvekonto]],Table5[[Konto]:[Konto nimetus]],2,FALSE)</f>
        <v>Tööjõukuludega kaasnevad maksud ja sotsiaalkindlustusmaksed</v>
      </c>
      <c r="F214" s="41" t="s">
        <v>139</v>
      </c>
      <c r="G214" s="41" t="s">
        <v>24</v>
      </c>
      <c r="J214" s="41" t="s">
        <v>264</v>
      </c>
      <c r="K214" s="41" t="s">
        <v>263</v>
      </c>
      <c r="L214" s="58" t="s">
        <v>266</v>
      </c>
      <c r="M214" s="58" t="str">
        <f>LEFT(Table1[[#This Row],[Tegevusala kood]],2)</f>
        <v>09</v>
      </c>
      <c r="N214" s="41" t="str">
        <f>VLOOKUP(Table1[[#This Row],[Tegevusala kood]],Table4[[Tegevusala kood]:[Tegevusala alanimetus]],2,FALSE)</f>
        <v>Roela kool</v>
      </c>
      <c r="O214" s="41" t="s">
        <v>1</v>
      </c>
      <c r="P214" s="41" t="s">
        <v>1</v>
      </c>
      <c r="Q214" s="41" t="str">
        <f>VLOOKUP(Table1[[#This Row],[Eelarvekonto]],Table5[[Konto]:[Kontode alanimetus]],5,FALSE)</f>
        <v>Tööjõukulud</v>
      </c>
      <c r="R214" s="42" t="str">
        <f>VLOOKUP(Table1[[#This Row],[Tegevusala kood]],Table4[[Tegevusala kood]:[Tegevusala alanimetus]],4,FALSE)</f>
        <v>Põhihariduse otsekulud</v>
      </c>
      <c r="S214" s="53"/>
      <c r="T214" s="53"/>
      <c r="U214" s="53">
        <f>Table1[[#This Row],[Summa]]+Table1[[#This Row],[I Muudatus]]+Table1[[#This Row],[II Muudatus]]</f>
        <v>34433.68</v>
      </c>
    </row>
    <row r="215" spans="1:21" ht="14.25" hidden="1" customHeight="1" x14ac:dyDescent="0.25">
      <c r="A215" s="41" t="s">
        <v>962</v>
      </c>
      <c r="B215" s="41">
        <v>551.48</v>
      </c>
      <c r="C215" s="52">
        <v>4500</v>
      </c>
      <c r="D215" s="52" t="str">
        <f>LEFT(Table1[[#This Row],[Eelarvekonto]],2)</f>
        <v>45</v>
      </c>
      <c r="E215" s="41" t="str">
        <f>VLOOKUP(Table1[[#This Row],[Eelarvekonto]],Table5[[Konto]:[Konto nimetus]],2,FALSE)</f>
        <v>Antud sihtfinantseerimine tegevuskuludeks</v>
      </c>
      <c r="F215" s="41" t="s">
        <v>139</v>
      </c>
      <c r="G215" s="41" t="s">
        <v>24</v>
      </c>
      <c r="J215" s="41" t="s">
        <v>342</v>
      </c>
      <c r="K215" s="41" t="s">
        <v>341</v>
      </c>
      <c r="L215" s="58" t="s">
        <v>340</v>
      </c>
      <c r="M215" s="58" t="str">
        <f>LEFT(Table1[[#This Row],[Tegevusala kood]],2)</f>
        <v>09</v>
      </c>
      <c r="N215" s="41" t="str">
        <f>VLOOKUP(Table1[[#This Row],[Tegevusala kood]],Table4[[Tegevusala kood]:[Tegevusala alanimetus]],2,FALSE)</f>
        <v>Halduse tagatavad kulud</v>
      </c>
      <c r="O215" s="41" t="s">
        <v>1</v>
      </c>
      <c r="P215" s="41" t="s">
        <v>1</v>
      </c>
      <c r="Q215" s="41" t="str">
        <f>VLOOKUP(Table1[[#This Row],[Eelarvekonto]],Table5[[Konto]:[Kontode alanimetus]],5,FALSE)</f>
        <v>Sihtotstarbelised toetused tegevuskuludeks</v>
      </c>
      <c r="R215" s="42" t="str">
        <f>VLOOKUP(Table1[[#This Row],[Tegevusala kood]],Table4[[Tegevusala kood]:[Tegevusala alanimetus]],4,FALSE)</f>
        <v>Muu haridus, sh hariduse haldus</v>
      </c>
      <c r="S215" s="53"/>
      <c r="T215" s="53"/>
      <c r="U215" s="53">
        <f>Table1[[#This Row],[Summa]]+Table1[[#This Row],[I Muudatus]]+Table1[[#This Row],[II Muudatus]]</f>
        <v>551.48</v>
      </c>
    </row>
    <row r="216" spans="1:21" ht="14.25" hidden="1" customHeight="1" x14ac:dyDescent="0.25">
      <c r="A216" s="41" t="s">
        <v>1033</v>
      </c>
      <c r="B216" s="41">
        <v>3924</v>
      </c>
      <c r="C216" s="52">
        <v>5002</v>
      </c>
      <c r="D216" s="52" t="str">
        <f>LEFT(Table1[[#This Row],[Eelarvekonto]],2)</f>
        <v>50</v>
      </c>
      <c r="E216" s="41" t="str">
        <f>VLOOKUP(Table1[[#This Row],[Eelarvekonto]],Table5[[Konto]:[Konto nimetus]],2,FALSE)</f>
        <v>Töötajate töötasud</v>
      </c>
      <c r="F216" s="41" t="s">
        <v>139</v>
      </c>
      <c r="G216" s="41" t="s">
        <v>24</v>
      </c>
      <c r="J216" s="41" t="s">
        <v>296</v>
      </c>
      <c r="K216" s="41" t="s">
        <v>294</v>
      </c>
      <c r="L216" s="58" t="s">
        <v>295</v>
      </c>
      <c r="M216" s="58" t="str">
        <f>LEFT(Table1[[#This Row],[Tegevusala kood]],2)</f>
        <v>09</v>
      </c>
      <c r="N216" s="41" t="str">
        <f>VLOOKUP(Table1[[#This Row],[Tegevusala kood]],Table4[[Tegevusala kood]:[Tegevusala alanimetus]],2,FALSE)</f>
        <v>Kulina Lasteaed</v>
      </c>
      <c r="O216" s="41" t="s">
        <v>1</v>
      </c>
      <c r="P216" s="41" t="s">
        <v>1</v>
      </c>
      <c r="Q216" s="41" t="str">
        <f>VLOOKUP(Table1[[#This Row],[Eelarvekonto]],Table5[[Konto]:[Kontode alanimetus]],5,FALSE)</f>
        <v>Tööjõukulud</v>
      </c>
      <c r="R216" s="42" t="str">
        <f>VLOOKUP(Table1[[#This Row],[Tegevusala kood]],Table4[[Tegevusala kood]:[Tegevusala alanimetus]],4,FALSE)</f>
        <v>Alusharidus</v>
      </c>
      <c r="S216" s="53"/>
      <c r="T216" s="53"/>
      <c r="U216" s="53">
        <f>Table1[[#This Row],[Summa]]+Table1[[#This Row],[I Muudatus]]+Table1[[#This Row],[II Muudatus]]</f>
        <v>3924</v>
      </c>
    </row>
    <row r="217" spans="1:21" ht="14.25" hidden="1" customHeight="1" x14ac:dyDescent="0.25">
      <c r="A217" s="41" t="s">
        <v>301</v>
      </c>
      <c r="B217" s="41">
        <v>4236</v>
      </c>
      <c r="C217" s="52">
        <v>5005</v>
      </c>
      <c r="D217" s="52" t="str">
        <f>LEFT(Table1[[#This Row],[Eelarvekonto]],2)</f>
        <v>50</v>
      </c>
      <c r="E217" s="41" t="str">
        <f>VLOOKUP(Table1[[#This Row],[Eelarvekonto]],Table5[[Konto]:[Konto nimetus]],2,FALSE)</f>
        <v>Töötasud võlaõiguslike lepingute alusel</v>
      </c>
      <c r="F217" s="41" t="s">
        <v>139</v>
      </c>
      <c r="G217" s="41" t="s">
        <v>24</v>
      </c>
      <c r="J217" s="41" t="s">
        <v>296</v>
      </c>
      <c r="K217" s="41" t="s">
        <v>294</v>
      </c>
      <c r="L217" s="58" t="s">
        <v>295</v>
      </c>
      <c r="M217" s="58" t="str">
        <f>LEFT(Table1[[#This Row],[Tegevusala kood]],2)</f>
        <v>09</v>
      </c>
      <c r="N217" s="41" t="str">
        <f>VLOOKUP(Table1[[#This Row],[Tegevusala kood]],Table4[[Tegevusala kood]:[Tegevusala alanimetus]],2,FALSE)</f>
        <v>Kulina Lasteaed</v>
      </c>
      <c r="O217" s="41" t="s">
        <v>1</v>
      </c>
      <c r="P217" s="41" t="s">
        <v>1</v>
      </c>
      <c r="Q217" s="41" t="str">
        <f>VLOOKUP(Table1[[#This Row],[Eelarvekonto]],Table5[[Konto]:[Kontode alanimetus]],5,FALSE)</f>
        <v>Tööjõukulud</v>
      </c>
      <c r="R217" s="42" t="str">
        <f>VLOOKUP(Table1[[#This Row],[Tegevusala kood]],Table4[[Tegevusala kood]:[Tegevusala alanimetus]],4,FALSE)</f>
        <v>Alusharidus</v>
      </c>
      <c r="S217" s="53"/>
      <c r="T217" s="53"/>
      <c r="U217" s="53">
        <f>Table1[[#This Row],[Summa]]+Table1[[#This Row],[I Muudatus]]+Table1[[#This Row],[II Muudatus]]</f>
        <v>4236</v>
      </c>
    </row>
    <row r="218" spans="1:21" ht="14.25" hidden="1" customHeight="1" x14ac:dyDescent="0.25">
      <c r="A218" s="41" t="s">
        <v>1034</v>
      </c>
      <c r="B218" s="41">
        <v>3388.8</v>
      </c>
      <c r="C218" s="52">
        <v>5002</v>
      </c>
      <c r="D218" s="52" t="str">
        <f>LEFT(Table1[[#This Row],[Eelarvekonto]],2)</f>
        <v>50</v>
      </c>
      <c r="E218" s="41" t="str">
        <f>VLOOKUP(Table1[[#This Row],[Eelarvekonto]],Table5[[Konto]:[Konto nimetus]],2,FALSE)</f>
        <v>Töötajate töötasud</v>
      </c>
      <c r="F218" s="41" t="s">
        <v>139</v>
      </c>
      <c r="G218" s="41" t="s">
        <v>24</v>
      </c>
      <c r="J218" s="41" t="s">
        <v>296</v>
      </c>
      <c r="K218" s="41" t="s">
        <v>294</v>
      </c>
      <c r="L218" s="58" t="s">
        <v>295</v>
      </c>
      <c r="M218" s="58" t="str">
        <f>LEFT(Table1[[#This Row],[Tegevusala kood]],2)</f>
        <v>09</v>
      </c>
      <c r="N218" s="41" t="str">
        <f>VLOOKUP(Table1[[#This Row],[Tegevusala kood]],Table4[[Tegevusala kood]:[Tegevusala alanimetus]],2,FALSE)</f>
        <v>Kulina Lasteaed</v>
      </c>
      <c r="O218" s="41" t="s">
        <v>1</v>
      </c>
      <c r="P218" s="41" t="s">
        <v>1</v>
      </c>
      <c r="Q218" s="41" t="str">
        <f>VLOOKUP(Table1[[#This Row],[Eelarvekonto]],Table5[[Konto]:[Kontode alanimetus]],5,FALSE)</f>
        <v>Tööjõukulud</v>
      </c>
      <c r="R218" s="42" t="str">
        <f>VLOOKUP(Table1[[#This Row],[Tegevusala kood]],Table4[[Tegevusala kood]:[Tegevusala alanimetus]],4,FALSE)</f>
        <v>Alusharidus</v>
      </c>
      <c r="S218" s="53"/>
      <c r="T218" s="53"/>
      <c r="U218" s="53">
        <f>Table1[[#This Row],[Summa]]+Table1[[#This Row],[I Muudatus]]+Table1[[#This Row],[II Muudatus]]</f>
        <v>3388.8</v>
      </c>
    </row>
    <row r="219" spans="1:21" ht="14.25" hidden="1" customHeight="1" x14ac:dyDescent="0.25">
      <c r="A219" s="41" t="s">
        <v>1035</v>
      </c>
      <c r="B219" s="41">
        <v>6259.2</v>
      </c>
      <c r="C219" s="52">
        <v>5002</v>
      </c>
      <c r="D219" s="52" t="str">
        <f>LEFT(Table1[[#This Row],[Eelarvekonto]],2)</f>
        <v>50</v>
      </c>
      <c r="E219" s="41" t="str">
        <f>VLOOKUP(Table1[[#This Row],[Eelarvekonto]],Table5[[Konto]:[Konto nimetus]],2,FALSE)</f>
        <v>Töötajate töötasud</v>
      </c>
      <c r="F219" s="41" t="s">
        <v>139</v>
      </c>
      <c r="G219" s="41" t="s">
        <v>24</v>
      </c>
      <c r="J219" s="41" t="s">
        <v>296</v>
      </c>
      <c r="K219" s="41" t="s">
        <v>294</v>
      </c>
      <c r="L219" s="58" t="s">
        <v>295</v>
      </c>
      <c r="M219" s="58" t="str">
        <f>LEFT(Table1[[#This Row],[Tegevusala kood]],2)</f>
        <v>09</v>
      </c>
      <c r="N219" s="41" t="str">
        <f>VLOOKUP(Table1[[#This Row],[Tegevusala kood]],Table4[[Tegevusala kood]:[Tegevusala alanimetus]],2,FALSE)</f>
        <v>Kulina Lasteaed</v>
      </c>
      <c r="O219" s="41" t="s">
        <v>1</v>
      </c>
      <c r="P219" s="41" t="s">
        <v>1</v>
      </c>
      <c r="Q219" s="41" t="str">
        <f>VLOOKUP(Table1[[#This Row],[Eelarvekonto]],Table5[[Konto]:[Kontode alanimetus]],5,FALSE)</f>
        <v>Tööjõukulud</v>
      </c>
      <c r="R219" s="42" t="str">
        <f>VLOOKUP(Table1[[#This Row],[Tegevusala kood]],Table4[[Tegevusala kood]:[Tegevusala alanimetus]],4,FALSE)</f>
        <v>Alusharidus</v>
      </c>
      <c r="S219" s="53"/>
      <c r="T219" s="53"/>
      <c r="U219" s="53">
        <f>Table1[[#This Row],[Summa]]+Table1[[#This Row],[I Muudatus]]+Table1[[#This Row],[II Muudatus]]</f>
        <v>6259.2</v>
      </c>
    </row>
    <row r="220" spans="1:21" ht="14.25" hidden="1" customHeight="1" x14ac:dyDescent="0.25">
      <c r="A220" s="41" t="s">
        <v>529</v>
      </c>
      <c r="B220" s="41">
        <v>7824</v>
      </c>
      <c r="C220" s="52">
        <v>5002</v>
      </c>
      <c r="D220" s="52" t="str">
        <f>LEFT(Table1[[#This Row],[Eelarvekonto]],2)</f>
        <v>50</v>
      </c>
      <c r="E220" s="41" t="str">
        <f>VLOOKUP(Table1[[#This Row],[Eelarvekonto]],Table5[[Konto]:[Konto nimetus]],2,FALSE)</f>
        <v>Töötajate töötasud</v>
      </c>
      <c r="F220" s="41" t="s">
        <v>139</v>
      </c>
      <c r="G220" s="41" t="s">
        <v>24</v>
      </c>
      <c r="J220" s="41" t="s">
        <v>296</v>
      </c>
      <c r="K220" s="41" t="s">
        <v>294</v>
      </c>
      <c r="L220" s="58" t="s">
        <v>295</v>
      </c>
      <c r="M220" s="58" t="str">
        <f>LEFT(Table1[[#This Row],[Tegevusala kood]],2)</f>
        <v>09</v>
      </c>
      <c r="N220" s="41" t="str">
        <f>VLOOKUP(Table1[[#This Row],[Tegevusala kood]],Table4[[Tegevusala kood]:[Tegevusala alanimetus]],2,FALSE)</f>
        <v>Kulina Lasteaed</v>
      </c>
      <c r="O220" s="41" t="s">
        <v>1</v>
      </c>
      <c r="P220" s="41" t="s">
        <v>1</v>
      </c>
      <c r="Q220" s="41" t="str">
        <f>VLOOKUP(Table1[[#This Row],[Eelarvekonto]],Table5[[Konto]:[Kontode alanimetus]],5,FALSE)</f>
        <v>Tööjõukulud</v>
      </c>
      <c r="R220" s="42" t="str">
        <f>VLOOKUP(Table1[[#This Row],[Tegevusala kood]],Table4[[Tegevusala kood]:[Tegevusala alanimetus]],4,FALSE)</f>
        <v>Alusharidus</v>
      </c>
      <c r="S220" s="53"/>
      <c r="T220" s="53"/>
      <c r="U220" s="53">
        <f>Table1[[#This Row],[Summa]]+Table1[[#This Row],[I Muudatus]]+Table1[[#This Row],[II Muudatus]]</f>
        <v>7824</v>
      </c>
    </row>
    <row r="221" spans="1:21" ht="14.25" hidden="1" customHeight="1" x14ac:dyDescent="0.25">
      <c r="A221" s="41" t="s">
        <v>526</v>
      </c>
      <c r="B221" s="41">
        <v>7848</v>
      </c>
      <c r="C221" s="52">
        <v>5002</v>
      </c>
      <c r="D221" s="52" t="str">
        <f>LEFT(Table1[[#This Row],[Eelarvekonto]],2)</f>
        <v>50</v>
      </c>
      <c r="E221" s="41" t="str">
        <f>VLOOKUP(Table1[[#This Row],[Eelarvekonto]],Table5[[Konto]:[Konto nimetus]],2,FALSE)</f>
        <v>Töötajate töötasud</v>
      </c>
      <c r="F221" s="41" t="s">
        <v>139</v>
      </c>
      <c r="G221" s="41" t="s">
        <v>24</v>
      </c>
      <c r="J221" s="41" t="s">
        <v>296</v>
      </c>
      <c r="K221" s="41" t="s">
        <v>294</v>
      </c>
      <c r="L221" s="58" t="s">
        <v>295</v>
      </c>
      <c r="M221" s="58" t="str">
        <f>LEFT(Table1[[#This Row],[Tegevusala kood]],2)</f>
        <v>09</v>
      </c>
      <c r="N221" s="41" t="str">
        <f>VLOOKUP(Table1[[#This Row],[Tegevusala kood]],Table4[[Tegevusala kood]:[Tegevusala alanimetus]],2,FALSE)</f>
        <v>Kulina Lasteaed</v>
      </c>
      <c r="O221" s="41" t="s">
        <v>1</v>
      </c>
      <c r="P221" s="41" t="s">
        <v>1</v>
      </c>
      <c r="Q221" s="41" t="str">
        <f>VLOOKUP(Table1[[#This Row],[Eelarvekonto]],Table5[[Konto]:[Kontode alanimetus]],5,FALSE)</f>
        <v>Tööjõukulud</v>
      </c>
      <c r="R221" s="42" t="str">
        <f>VLOOKUP(Table1[[#This Row],[Tegevusala kood]],Table4[[Tegevusala kood]:[Tegevusala alanimetus]],4,FALSE)</f>
        <v>Alusharidus</v>
      </c>
      <c r="S221" s="53"/>
      <c r="T221" s="53"/>
      <c r="U221" s="53">
        <f>Table1[[#This Row],[Summa]]+Table1[[#This Row],[I Muudatus]]+Table1[[#This Row],[II Muudatus]]</f>
        <v>7848</v>
      </c>
    </row>
    <row r="222" spans="1:21" ht="14.25" hidden="1" customHeight="1" x14ac:dyDescent="0.25">
      <c r="A222" s="41" t="s">
        <v>470</v>
      </c>
      <c r="B222" s="41">
        <v>8359.2000000000007</v>
      </c>
      <c r="C222" s="52">
        <v>5002</v>
      </c>
      <c r="D222" s="52" t="str">
        <f>LEFT(Table1[[#This Row],[Eelarvekonto]],2)</f>
        <v>50</v>
      </c>
      <c r="E222" s="41" t="str">
        <f>VLOOKUP(Table1[[#This Row],[Eelarvekonto]],Table5[[Konto]:[Konto nimetus]],2,FALSE)</f>
        <v>Töötajate töötasud</v>
      </c>
      <c r="F222" s="41" t="s">
        <v>139</v>
      </c>
      <c r="G222" s="41" t="s">
        <v>24</v>
      </c>
      <c r="J222" s="41" t="s">
        <v>293</v>
      </c>
      <c r="K222" s="41" t="s">
        <v>291</v>
      </c>
      <c r="L222" s="58" t="s">
        <v>292</v>
      </c>
      <c r="M222" s="58" t="str">
        <f>LEFT(Table1[[#This Row],[Tegevusala kood]],2)</f>
        <v>09</v>
      </c>
      <c r="N222" s="41" t="str">
        <f>VLOOKUP(Table1[[#This Row],[Tegevusala kood]],Table4[[Tegevusala kood]:[Tegevusala alanimetus]],2,FALSE)</f>
        <v>Pajusti Lasteaed Pajustis</v>
      </c>
      <c r="O222" s="41" t="s">
        <v>1</v>
      </c>
      <c r="P222" s="41" t="s">
        <v>1</v>
      </c>
      <c r="Q222" s="41" t="str">
        <f>VLOOKUP(Table1[[#This Row],[Eelarvekonto]],Table5[[Konto]:[Kontode alanimetus]],5,FALSE)</f>
        <v>Tööjõukulud</v>
      </c>
      <c r="R222" s="42" t="str">
        <f>VLOOKUP(Table1[[#This Row],[Tegevusala kood]],Table4[[Tegevusala kood]:[Tegevusala alanimetus]],4,FALSE)</f>
        <v>Alusharidus</v>
      </c>
      <c r="S222" s="53"/>
      <c r="T222" s="53"/>
      <c r="U222" s="53">
        <f>Table1[[#This Row],[Summa]]+Table1[[#This Row],[I Muudatus]]+Table1[[#This Row],[II Muudatus]]</f>
        <v>8359.2000000000007</v>
      </c>
    </row>
    <row r="223" spans="1:21" ht="14.25" hidden="1" customHeight="1" x14ac:dyDescent="0.25">
      <c r="A223" s="41" t="s">
        <v>1036</v>
      </c>
      <c r="B223" s="41">
        <v>3813</v>
      </c>
      <c r="C223" s="52">
        <v>5002</v>
      </c>
      <c r="D223" s="52" t="str">
        <f>LEFT(Table1[[#This Row],[Eelarvekonto]],2)</f>
        <v>50</v>
      </c>
      <c r="E223" s="41" t="str">
        <f>VLOOKUP(Table1[[#This Row],[Eelarvekonto]],Table5[[Konto]:[Konto nimetus]],2,FALSE)</f>
        <v>Töötajate töötasud</v>
      </c>
      <c r="F223" s="41" t="s">
        <v>139</v>
      </c>
      <c r="G223" s="41" t="s">
        <v>24</v>
      </c>
      <c r="J223" s="41" t="s">
        <v>296</v>
      </c>
      <c r="K223" s="41" t="s">
        <v>294</v>
      </c>
      <c r="L223" s="58" t="s">
        <v>295</v>
      </c>
      <c r="M223" s="58" t="str">
        <f>LEFT(Table1[[#This Row],[Tegevusala kood]],2)</f>
        <v>09</v>
      </c>
      <c r="N223" s="41" t="str">
        <f>VLOOKUP(Table1[[#This Row],[Tegevusala kood]],Table4[[Tegevusala kood]:[Tegevusala alanimetus]],2,FALSE)</f>
        <v>Kulina Lasteaed</v>
      </c>
      <c r="O223" s="41" t="s">
        <v>1</v>
      </c>
      <c r="P223" s="41" t="s">
        <v>1</v>
      </c>
      <c r="Q223" s="41" t="str">
        <f>VLOOKUP(Table1[[#This Row],[Eelarvekonto]],Table5[[Konto]:[Kontode alanimetus]],5,FALSE)</f>
        <v>Tööjõukulud</v>
      </c>
      <c r="R223" s="42" t="str">
        <f>VLOOKUP(Table1[[#This Row],[Tegevusala kood]],Table4[[Tegevusala kood]:[Tegevusala alanimetus]],4,FALSE)</f>
        <v>Alusharidus</v>
      </c>
      <c r="S223" s="53"/>
      <c r="T223" s="53"/>
      <c r="U223" s="53">
        <f>Table1[[#This Row],[Summa]]+Table1[[#This Row],[I Muudatus]]+Table1[[#This Row],[II Muudatus]]</f>
        <v>3813</v>
      </c>
    </row>
    <row r="224" spans="1:21" ht="14.25" hidden="1" customHeight="1" x14ac:dyDescent="0.25">
      <c r="A224" s="41" t="s">
        <v>1037</v>
      </c>
      <c r="B224" s="41">
        <v>3813</v>
      </c>
      <c r="C224" s="52">
        <v>5002</v>
      </c>
      <c r="D224" s="52" t="str">
        <f>LEFT(Table1[[#This Row],[Eelarvekonto]],2)</f>
        <v>50</v>
      </c>
      <c r="E224" s="41" t="str">
        <f>VLOOKUP(Table1[[#This Row],[Eelarvekonto]],Table5[[Konto]:[Konto nimetus]],2,FALSE)</f>
        <v>Töötajate töötasud</v>
      </c>
      <c r="F224" s="41" t="s">
        <v>139</v>
      </c>
      <c r="G224" s="41" t="s">
        <v>24</v>
      </c>
      <c r="J224" s="41" t="s">
        <v>296</v>
      </c>
      <c r="K224" s="41" t="s">
        <v>294</v>
      </c>
      <c r="L224" s="58" t="s">
        <v>295</v>
      </c>
      <c r="M224" s="58" t="str">
        <f>LEFT(Table1[[#This Row],[Tegevusala kood]],2)</f>
        <v>09</v>
      </c>
      <c r="N224" s="41" t="str">
        <f>VLOOKUP(Table1[[#This Row],[Tegevusala kood]],Table4[[Tegevusala kood]:[Tegevusala alanimetus]],2,FALSE)</f>
        <v>Kulina Lasteaed</v>
      </c>
      <c r="O224" s="41" t="s">
        <v>1</v>
      </c>
      <c r="P224" s="41" t="s">
        <v>1</v>
      </c>
      <c r="Q224" s="41" t="str">
        <f>VLOOKUP(Table1[[#This Row],[Eelarvekonto]],Table5[[Konto]:[Kontode alanimetus]],5,FALSE)</f>
        <v>Tööjõukulud</v>
      </c>
      <c r="R224" s="42" t="str">
        <f>VLOOKUP(Table1[[#This Row],[Tegevusala kood]],Table4[[Tegevusala kood]:[Tegevusala alanimetus]],4,FALSE)</f>
        <v>Alusharidus</v>
      </c>
      <c r="S224" s="53"/>
      <c r="T224" s="53"/>
      <c r="U224" s="53">
        <f>Table1[[#This Row],[Summa]]+Table1[[#This Row],[I Muudatus]]+Table1[[#This Row],[II Muudatus]]</f>
        <v>3813</v>
      </c>
    </row>
    <row r="225" spans="1:21" ht="14.25" hidden="1" customHeight="1" x14ac:dyDescent="0.25">
      <c r="A225" s="41" t="s">
        <v>1038</v>
      </c>
      <c r="B225" s="41">
        <v>12659.16</v>
      </c>
      <c r="C225" s="52">
        <v>5002</v>
      </c>
      <c r="D225" s="52" t="str">
        <f>LEFT(Table1[[#This Row],[Eelarvekonto]],2)</f>
        <v>50</v>
      </c>
      <c r="E225" s="41" t="str">
        <f>VLOOKUP(Table1[[#This Row],[Eelarvekonto]],Table5[[Konto]:[Konto nimetus]],2,FALSE)</f>
        <v>Töötajate töötasud</v>
      </c>
      <c r="F225" s="41" t="s">
        <v>139</v>
      </c>
      <c r="G225" s="41" t="s">
        <v>24</v>
      </c>
      <c r="J225" s="41" t="s">
        <v>296</v>
      </c>
      <c r="K225" s="41" t="s">
        <v>294</v>
      </c>
      <c r="L225" s="58" t="s">
        <v>295</v>
      </c>
      <c r="M225" s="58" t="str">
        <f>LEFT(Table1[[#This Row],[Tegevusala kood]],2)</f>
        <v>09</v>
      </c>
      <c r="N225" s="41" t="str">
        <f>VLOOKUP(Table1[[#This Row],[Tegevusala kood]],Table4[[Tegevusala kood]:[Tegevusala alanimetus]],2,FALSE)</f>
        <v>Kulina Lasteaed</v>
      </c>
      <c r="O225" s="41" t="s">
        <v>1</v>
      </c>
      <c r="P225" s="41" t="s">
        <v>1</v>
      </c>
      <c r="Q225" s="41" t="str">
        <f>VLOOKUP(Table1[[#This Row],[Eelarvekonto]],Table5[[Konto]:[Kontode alanimetus]],5,FALSE)</f>
        <v>Tööjõukulud</v>
      </c>
      <c r="R225" s="42" t="str">
        <f>VLOOKUP(Table1[[#This Row],[Tegevusala kood]],Table4[[Tegevusala kood]:[Tegevusala alanimetus]],4,FALSE)</f>
        <v>Alusharidus</v>
      </c>
      <c r="S225" s="53"/>
      <c r="T225" s="53"/>
      <c r="U225" s="53">
        <f>Table1[[#This Row],[Summa]]+Table1[[#This Row],[I Muudatus]]+Table1[[#This Row],[II Muudatus]]</f>
        <v>12659.16</v>
      </c>
    </row>
    <row r="226" spans="1:21" ht="14.25" hidden="1" customHeight="1" x14ac:dyDescent="0.25">
      <c r="A226" s="41" t="s">
        <v>1038</v>
      </c>
      <c r="B226" s="41">
        <v>12659.16</v>
      </c>
      <c r="C226" s="52">
        <v>5002</v>
      </c>
      <c r="D226" s="52" t="str">
        <f>LEFT(Table1[[#This Row],[Eelarvekonto]],2)</f>
        <v>50</v>
      </c>
      <c r="E226" s="41" t="str">
        <f>VLOOKUP(Table1[[#This Row],[Eelarvekonto]],Table5[[Konto]:[Konto nimetus]],2,FALSE)</f>
        <v>Töötajate töötasud</v>
      </c>
      <c r="F226" s="41" t="s">
        <v>139</v>
      </c>
      <c r="G226" s="41" t="s">
        <v>24</v>
      </c>
      <c r="J226" s="41" t="s">
        <v>296</v>
      </c>
      <c r="K226" s="41" t="s">
        <v>294</v>
      </c>
      <c r="L226" s="58" t="s">
        <v>295</v>
      </c>
      <c r="M226" s="58" t="str">
        <f>LEFT(Table1[[#This Row],[Tegevusala kood]],2)</f>
        <v>09</v>
      </c>
      <c r="N226" s="41" t="str">
        <f>VLOOKUP(Table1[[#This Row],[Tegevusala kood]],Table4[[Tegevusala kood]:[Tegevusala alanimetus]],2,FALSE)</f>
        <v>Kulina Lasteaed</v>
      </c>
      <c r="O226" s="41" t="s">
        <v>1</v>
      </c>
      <c r="P226" s="41" t="s">
        <v>1</v>
      </c>
      <c r="Q226" s="41" t="str">
        <f>VLOOKUP(Table1[[#This Row],[Eelarvekonto]],Table5[[Konto]:[Kontode alanimetus]],5,FALSE)</f>
        <v>Tööjõukulud</v>
      </c>
      <c r="R226" s="42" t="str">
        <f>VLOOKUP(Table1[[#This Row],[Tegevusala kood]],Table4[[Tegevusala kood]:[Tegevusala alanimetus]],4,FALSE)</f>
        <v>Alusharidus</v>
      </c>
      <c r="S226" s="53"/>
      <c r="T226" s="53"/>
      <c r="U226" s="53">
        <f>Table1[[#This Row],[Summa]]+Table1[[#This Row],[I Muudatus]]+Table1[[#This Row],[II Muudatus]]</f>
        <v>12659.16</v>
      </c>
    </row>
    <row r="227" spans="1:21" ht="14.25" hidden="1" customHeight="1" x14ac:dyDescent="0.25">
      <c r="A227" s="41" t="s">
        <v>528</v>
      </c>
      <c r="B227" s="41">
        <v>15252</v>
      </c>
      <c r="C227" s="52">
        <v>5002</v>
      </c>
      <c r="D227" s="52" t="str">
        <f>LEFT(Table1[[#This Row],[Eelarvekonto]],2)</f>
        <v>50</v>
      </c>
      <c r="E227" s="41" t="str">
        <f>VLOOKUP(Table1[[#This Row],[Eelarvekonto]],Table5[[Konto]:[Konto nimetus]],2,FALSE)</f>
        <v>Töötajate töötasud</v>
      </c>
      <c r="F227" s="41" t="s">
        <v>139</v>
      </c>
      <c r="G227" s="41" t="s">
        <v>24</v>
      </c>
      <c r="J227" s="41" t="s">
        <v>296</v>
      </c>
      <c r="K227" s="41" t="s">
        <v>294</v>
      </c>
      <c r="L227" s="58" t="s">
        <v>295</v>
      </c>
      <c r="M227" s="58" t="str">
        <f>LEFT(Table1[[#This Row],[Tegevusala kood]],2)</f>
        <v>09</v>
      </c>
      <c r="N227" s="41" t="str">
        <f>VLOOKUP(Table1[[#This Row],[Tegevusala kood]],Table4[[Tegevusala kood]:[Tegevusala alanimetus]],2,FALSE)</f>
        <v>Kulina Lasteaed</v>
      </c>
      <c r="O227" s="41" t="s">
        <v>1</v>
      </c>
      <c r="P227" s="41" t="s">
        <v>1</v>
      </c>
      <c r="Q227" s="41" t="str">
        <f>VLOOKUP(Table1[[#This Row],[Eelarvekonto]],Table5[[Konto]:[Kontode alanimetus]],5,FALSE)</f>
        <v>Tööjõukulud</v>
      </c>
      <c r="R227" s="42" t="str">
        <f>VLOOKUP(Table1[[#This Row],[Tegevusala kood]],Table4[[Tegevusala kood]:[Tegevusala alanimetus]],4,FALSE)</f>
        <v>Alusharidus</v>
      </c>
      <c r="S227" s="53"/>
      <c r="T227" s="53"/>
      <c r="U227" s="53">
        <f>Table1[[#This Row],[Summa]]+Table1[[#This Row],[I Muudatus]]+Table1[[#This Row],[II Muudatus]]</f>
        <v>15252</v>
      </c>
    </row>
    <row r="228" spans="1:21" ht="14.25" hidden="1" customHeight="1" x14ac:dyDescent="0.25">
      <c r="A228" s="41" t="s">
        <v>528</v>
      </c>
      <c r="B228" s="41">
        <v>15252</v>
      </c>
      <c r="C228" s="52">
        <v>5002</v>
      </c>
      <c r="D228" s="52" t="str">
        <f>LEFT(Table1[[#This Row],[Eelarvekonto]],2)</f>
        <v>50</v>
      </c>
      <c r="E228" s="41" t="str">
        <f>VLOOKUP(Table1[[#This Row],[Eelarvekonto]],Table5[[Konto]:[Konto nimetus]],2,FALSE)</f>
        <v>Töötajate töötasud</v>
      </c>
      <c r="F228" s="41" t="s">
        <v>139</v>
      </c>
      <c r="G228" s="41" t="s">
        <v>24</v>
      </c>
      <c r="J228" s="41" t="s">
        <v>296</v>
      </c>
      <c r="K228" s="41" t="s">
        <v>294</v>
      </c>
      <c r="L228" s="58" t="s">
        <v>295</v>
      </c>
      <c r="M228" s="58" t="str">
        <f>LEFT(Table1[[#This Row],[Tegevusala kood]],2)</f>
        <v>09</v>
      </c>
      <c r="N228" s="41" t="str">
        <f>VLOOKUP(Table1[[#This Row],[Tegevusala kood]],Table4[[Tegevusala kood]:[Tegevusala alanimetus]],2,FALSE)</f>
        <v>Kulina Lasteaed</v>
      </c>
      <c r="O228" s="41" t="s">
        <v>1</v>
      </c>
      <c r="P228" s="41" t="s">
        <v>1</v>
      </c>
      <c r="Q228" s="41" t="str">
        <f>VLOOKUP(Table1[[#This Row],[Eelarvekonto]],Table5[[Konto]:[Kontode alanimetus]],5,FALSE)</f>
        <v>Tööjõukulud</v>
      </c>
      <c r="R228" s="42" t="str">
        <f>VLOOKUP(Table1[[#This Row],[Tegevusala kood]],Table4[[Tegevusala kood]:[Tegevusala alanimetus]],4,FALSE)</f>
        <v>Alusharidus</v>
      </c>
      <c r="S228" s="53"/>
      <c r="T228" s="53"/>
      <c r="U228" s="53">
        <f>Table1[[#This Row],[Summa]]+Table1[[#This Row],[I Muudatus]]+Table1[[#This Row],[II Muudatus]]</f>
        <v>15252</v>
      </c>
    </row>
    <row r="229" spans="1:21" ht="14.25" hidden="1" customHeight="1" x14ac:dyDescent="0.25">
      <c r="A229" s="41" t="s">
        <v>1015</v>
      </c>
      <c r="B229" s="41">
        <v>5700.24</v>
      </c>
      <c r="C229" s="52">
        <v>5521</v>
      </c>
      <c r="D229" s="52" t="str">
        <f>LEFT(Table1[[#This Row],[Eelarvekonto]],2)</f>
        <v>55</v>
      </c>
      <c r="E229" s="41" t="str">
        <f>VLOOKUP(Table1[[#This Row],[Eelarvekonto]],Table5[[Konto]:[Konto nimetus]],2,FALSE)</f>
        <v>Toiduained ja toitlustusteenused</v>
      </c>
      <c r="F229" s="41" t="s">
        <v>139</v>
      </c>
      <c r="G229" s="41" t="s">
        <v>24</v>
      </c>
      <c r="J229" s="41" t="s">
        <v>296</v>
      </c>
      <c r="K229" s="41" t="s">
        <v>294</v>
      </c>
      <c r="L229" s="58" t="s">
        <v>295</v>
      </c>
      <c r="M229" s="58" t="str">
        <f>LEFT(Table1[[#This Row],[Tegevusala kood]],2)</f>
        <v>09</v>
      </c>
      <c r="N229" s="41" t="str">
        <f>VLOOKUP(Table1[[#This Row],[Tegevusala kood]],Table4[[Tegevusala kood]:[Tegevusala alanimetus]],2,FALSE)</f>
        <v>Kulina Lasteaed</v>
      </c>
      <c r="O229" s="41" t="s">
        <v>1</v>
      </c>
      <c r="P229" s="41" t="s">
        <v>1</v>
      </c>
      <c r="Q229" s="41" t="str">
        <f>VLOOKUP(Table1[[#This Row],[Eelarvekonto]],Table5[[Konto]:[Kontode alanimetus]],5,FALSE)</f>
        <v>Majandamiskulud</v>
      </c>
      <c r="R229" s="42" t="str">
        <f>VLOOKUP(Table1[[#This Row],[Tegevusala kood]],Table4[[Tegevusala kood]:[Tegevusala alanimetus]],4,FALSE)</f>
        <v>Alusharidus</v>
      </c>
      <c r="S229" s="53"/>
      <c r="T229" s="53"/>
      <c r="U229" s="53">
        <f>Table1[[#This Row],[Summa]]+Table1[[#This Row],[I Muudatus]]+Table1[[#This Row],[II Muudatus]]</f>
        <v>5700.24</v>
      </c>
    </row>
    <row r="230" spans="1:21" ht="14.25" hidden="1" customHeight="1" x14ac:dyDescent="0.25">
      <c r="A230" s="41" t="s">
        <v>557</v>
      </c>
      <c r="B230" s="41">
        <v>500</v>
      </c>
      <c r="C230" s="52">
        <v>5513081</v>
      </c>
      <c r="D230" s="52" t="str">
        <f>LEFT(Table1[[#This Row],[Eelarvekonto]],2)</f>
        <v>55</v>
      </c>
      <c r="E230" s="41" t="str">
        <f>VLOOKUP(Table1[[#This Row],[Eelarvekonto]],Table5[[Konto]:[Konto nimetus]],2,FALSE)</f>
        <v>Isikliku sõiduauto kompensatsioon</v>
      </c>
      <c r="F230" s="41" t="s">
        <v>139</v>
      </c>
      <c r="G230" s="41" t="s">
        <v>24</v>
      </c>
      <c r="J230" s="41" t="s">
        <v>296</v>
      </c>
      <c r="K230" s="41" t="s">
        <v>294</v>
      </c>
      <c r="L230" s="58" t="s">
        <v>295</v>
      </c>
      <c r="M230" s="58" t="str">
        <f>LEFT(Table1[[#This Row],[Tegevusala kood]],2)</f>
        <v>09</v>
      </c>
      <c r="N230" s="41" t="str">
        <f>VLOOKUP(Table1[[#This Row],[Tegevusala kood]],Table4[[Tegevusala kood]:[Tegevusala alanimetus]],2,FALSE)</f>
        <v>Kulina Lasteaed</v>
      </c>
      <c r="O230" s="41" t="s">
        <v>1</v>
      </c>
      <c r="P230" s="41" t="s">
        <v>1</v>
      </c>
      <c r="Q230" s="41" t="str">
        <f>VLOOKUP(Table1[[#This Row],[Eelarvekonto]],Table5[[Konto]:[Kontode alanimetus]],5,FALSE)</f>
        <v>Majandamiskulud</v>
      </c>
      <c r="R230" s="42" t="str">
        <f>VLOOKUP(Table1[[#This Row],[Tegevusala kood]],Table4[[Tegevusala kood]:[Tegevusala alanimetus]],4,FALSE)</f>
        <v>Alusharidus</v>
      </c>
      <c r="S230" s="53"/>
      <c r="T230" s="53"/>
      <c r="U230" s="53">
        <f>Table1[[#This Row],[Summa]]+Table1[[#This Row],[I Muudatus]]+Table1[[#This Row],[II Muudatus]]</f>
        <v>500</v>
      </c>
    </row>
    <row r="231" spans="1:21" ht="14.25" hidden="1" customHeight="1" x14ac:dyDescent="0.25">
      <c r="A231" s="41" t="s">
        <v>472</v>
      </c>
      <c r="B231" s="41">
        <v>1320</v>
      </c>
      <c r="C231" s="52">
        <v>5513081</v>
      </c>
      <c r="D231" s="52" t="str">
        <f>LEFT(Table1[[#This Row],[Eelarvekonto]],2)</f>
        <v>55</v>
      </c>
      <c r="E231" s="41" t="str">
        <f>VLOOKUP(Table1[[#This Row],[Eelarvekonto]],Table5[[Konto]:[Konto nimetus]],2,FALSE)</f>
        <v>Isikliku sõiduauto kompensatsioon</v>
      </c>
      <c r="F231" s="41" t="s">
        <v>139</v>
      </c>
      <c r="G231" s="41" t="s">
        <v>24</v>
      </c>
      <c r="J231" s="41" t="s">
        <v>296</v>
      </c>
      <c r="K231" s="41" t="s">
        <v>294</v>
      </c>
      <c r="L231" s="58" t="s">
        <v>295</v>
      </c>
      <c r="M231" s="58" t="str">
        <f>LEFT(Table1[[#This Row],[Tegevusala kood]],2)</f>
        <v>09</v>
      </c>
      <c r="N231" s="41" t="str">
        <f>VLOOKUP(Table1[[#This Row],[Tegevusala kood]],Table4[[Tegevusala kood]:[Tegevusala alanimetus]],2,FALSE)</f>
        <v>Kulina Lasteaed</v>
      </c>
      <c r="O231" s="41" t="s">
        <v>1</v>
      </c>
      <c r="P231" s="41" t="s">
        <v>1</v>
      </c>
      <c r="Q231" s="41" t="str">
        <f>VLOOKUP(Table1[[#This Row],[Eelarvekonto]],Table5[[Konto]:[Kontode alanimetus]],5,FALSE)</f>
        <v>Majandamiskulud</v>
      </c>
      <c r="R231" s="42" t="str">
        <f>VLOOKUP(Table1[[#This Row],[Tegevusala kood]],Table4[[Tegevusala kood]:[Tegevusala alanimetus]],4,FALSE)</f>
        <v>Alusharidus</v>
      </c>
      <c r="S231" s="53"/>
      <c r="T231" s="53"/>
      <c r="U231" s="53">
        <f>Table1[[#This Row],[Summa]]+Table1[[#This Row],[I Muudatus]]+Table1[[#This Row],[II Muudatus]]</f>
        <v>1320</v>
      </c>
    </row>
    <row r="232" spans="1:21" ht="14.25" hidden="1" customHeight="1" x14ac:dyDescent="0.25">
      <c r="A232" s="41" t="s">
        <v>158</v>
      </c>
      <c r="B232" s="41">
        <v>42053.05</v>
      </c>
      <c r="C232" s="52">
        <v>506</v>
      </c>
      <c r="D232" s="52" t="str">
        <f>LEFT(Table1[[#This Row],[Eelarvekonto]],2)</f>
        <v>50</v>
      </c>
      <c r="E232" s="41" t="str">
        <f>VLOOKUP(Table1[[#This Row],[Eelarvekonto]],Table5[[Konto]:[Konto nimetus]],2,FALSE)</f>
        <v>Tööjõukuludega kaasnevad maksud ja sotsiaalkindlustusmaksed</v>
      </c>
      <c r="F232" s="41" t="s">
        <v>139</v>
      </c>
      <c r="G232" s="41" t="s">
        <v>24</v>
      </c>
      <c r="J232" s="41" t="s">
        <v>296</v>
      </c>
      <c r="K232" s="41" t="s">
        <v>294</v>
      </c>
      <c r="L232" s="58" t="s">
        <v>295</v>
      </c>
      <c r="M232" s="58" t="str">
        <f>LEFT(Table1[[#This Row],[Tegevusala kood]],2)</f>
        <v>09</v>
      </c>
      <c r="N232" s="41" t="str">
        <f>VLOOKUP(Table1[[#This Row],[Tegevusala kood]],Table4[[Tegevusala kood]:[Tegevusala alanimetus]],2,FALSE)</f>
        <v>Kulina Lasteaed</v>
      </c>
      <c r="O232" s="41" t="s">
        <v>1</v>
      </c>
      <c r="P232" s="41" t="s">
        <v>1</v>
      </c>
      <c r="Q232" s="41" t="str">
        <f>VLOOKUP(Table1[[#This Row],[Eelarvekonto]],Table5[[Konto]:[Kontode alanimetus]],5,FALSE)</f>
        <v>Tööjõukulud</v>
      </c>
      <c r="R232" s="42" t="str">
        <f>VLOOKUP(Table1[[#This Row],[Tegevusala kood]],Table4[[Tegevusala kood]:[Tegevusala alanimetus]],4,FALSE)</f>
        <v>Alusharidus</v>
      </c>
      <c r="S232" s="53"/>
      <c r="T232" s="53"/>
      <c r="U232" s="53">
        <f>Table1[[#This Row],[Summa]]+Table1[[#This Row],[I Muudatus]]+Table1[[#This Row],[II Muudatus]]</f>
        <v>42053.05</v>
      </c>
    </row>
    <row r="233" spans="1:21" ht="14.25" hidden="1" customHeight="1" x14ac:dyDescent="0.25">
      <c r="A233" s="41" t="s">
        <v>1039</v>
      </c>
      <c r="B233" s="41">
        <v>3120</v>
      </c>
      <c r="C233" s="52">
        <v>5002</v>
      </c>
      <c r="D233" s="52" t="str">
        <f>LEFT(Table1[[#This Row],[Eelarvekonto]],2)</f>
        <v>50</v>
      </c>
      <c r="E233" s="41" t="str">
        <f>VLOOKUP(Table1[[#This Row],[Eelarvekonto]],Table5[[Konto]:[Konto nimetus]],2,FALSE)</f>
        <v>Töötajate töötasud</v>
      </c>
      <c r="F233" s="41" t="s">
        <v>139</v>
      </c>
      <c r="G233" s="41" t="s">
        <v>24</v>
      </c>
      <c r="J233" s="41" t="s">
        <v>296</v>
      </c>
      <c r="K233" s="41" t="s">
        <v>294</v>
      </c>
      <c r="L233" s="58" t="s">
        <v>295</v>
      </c>
      <c r="M233" s="58" t="str">
        <f>LEFT(Table1[[#This Row],[Tegevusala kood]],2)</f>
        <v>09</v>
      </c>
      <c r="N233" s="41" t="str">
        <f>VLOOKUP(Table1[[#This Row],[Tegevusala kood]],Table4[[Tegevusala kood]:[Tegevusala alanimetus]],2,FALSE)</f>
        <v>Kulina Lasteaed</v>
      </c>
      <c r="O233" s="41" t="s">
        <v>1</v>
      </c>
      <c r="P233" s="41" t="s">
        <v>1</v>
      </c>
      <c r="Q233" s="41" t="str">
        <f>VLOOKUP(Table1[[#This Row],[Eelarvekonto]],Table5[[Konto]:[Kontode alanimetus]],5,FALSE)</f>
        <v>Tööjõukulud</v>
      </c>
      <c r="R233" s="42" t="str">
        <f>VLOOKUP(Table1[[#This Row],[Tegevusala kood]],Table4[[Tegevusala kood]:[Tegevusala alanimetus]],4,FALSE)</f>
        <v>Alusharidus</v>
      </c>
      <c r="S233" s="53"/>
      <c r="T233" s="53"/>
      <c r="U233" s="53">
        <f>Table1[[#This Row],[Summa]]+Table1[[#This Row],[I Muudatus]]+Table1[[#This Row],[II Muudatus]]</f>
        <v>3120</v>
      </c>
    </row>
    <row r="234" spans="1:21" ht="14.25" hidden="1" customHeight="1" x14ac:dyDescent="0.25">
      <c r="A234" s="41" t="s">
        <v>494</v>
      </c>
      <c r="B234" s="41">
        <v>15660</v>
      </c>
      <c r="C234" s="52">
        <v>5002</v>
      </c>
      <c r="D234" s="52" t="str">
        <f>LEFT(Table1[[#This Row],[Eelarvekonto]],2)</f>
        <v>50</v>
      </c>
      <c r="E234" s="41" t="str">
        <f>VLOOKUP(Table1[[#This Row],[Eelarvekonto]],Table5[[Konto]:[Konto nimetus]],2,FALSE)</f>
        <v>Töötajate töötasud</v>
      </c>
      <c r="F234" s="41" t="s">
        <v>139</v>
      </c>
      <c r="G234" s="41" t="s">
        <v>24</v>
      </c>
      <c r="J234" s="41" t="s">
        <v>296</v>
      </c>
      <c r="K234" s="41" t="s">
        <v>294</v>
      </c>
      <c r="L234" s="58" t="s">
        <v>295</v>
      </c>
      <c r="M234" s="58" t="str">
        <f>LEFT(Table1[[#This Row],[Tegevusala kood]],2)</f>
        <v>09</v>
      </c>
      <c r="N234" s="41" t="str">
        <f>VLOOKUP(Table1[[#This Row],[Tegevusala kood]],Table4[[Tegevusala kood]:[Tegevusala alanimetus]],2,FALSE)</f>
        <v>Kulina Lasteaed</v>
      </c>
      <c r="O234" s="41" t="s">
        <v>1</v>
      </c>
      <c r="P234" s="41" t="s">
        <v>1</v>
      </c>
      <c r="Q234" s="41" t="str">
        <f>VLOOKUP(Table1[[#This Row],[Eelarvekonto]],Table5[[Konto]:[Kontode alanimetus]],5,FALSE)</f>
        <v>Tööjõukulud</v>
      </c>
      <c r="R234" s="42" t="str">
        <f>VLOOKUP(Table1[[#This Row],[Tegevusala kood]],Table4[[Tegevusala kood]:[Tegevusala alanimetus]],4,FALSE)</f>
        <v>Alusharidus</v>
      </c>
      <c r="S234" s="53"/>
      <c r="T234" s="53"/>
      <c r="U234" s="53">
        <f>Table1[[#This Row],[Summa]]+Table1[[#This Row],[I Muudatus]]+Table1[[#This Row],[II Muudatus]]</f>
        <v>15660</v>
      </c>
    </row>
    <row r="235" spans="1:21" ht="14.25" hidden="1" customHeight="1" x14ac:dyDescent="0.25">
      <c r="A235" s="41" t="s">
        <v>149</v>
      </c>
      <c r="B235" s="41">
        <v>5040</v>
      </c>
      <c r="C235" s="52">
        <v>551101</v>
      </c>
      <c r="D235" s="52" t="str">
        <f>LEFT(Table1[[#This Row],[Eelarvekonto]],2)</f>
        <v>55</v>
      </c>
      <c r="E235" s="41" t="str">
        <f>VLOOKUP(Table1[[#This Row],[Eelarvekonto]],Table5[[Konto]:[Konto nimetus]],2,FALSE)</f>
        <v>Elekter</v>
      </c>
      <c r="F235" s="41" t="s">
        <v>139</v>
      </c>
      <c r="G235" s="41" t="s">
        <v>24</v>
      </c>
      <c r="J235" s="41" t="s">
        <v>296</v>
      </c>
      <c r="K235" s="41" t="s">
        <v>294</v>
      </c>
      <c r="L235" s="58" t="s">
        <v>295</v>
      </c>
      <c r="M235" s="58" t="str">
        <f>LEFT(Table1[[#This Row],[Tegevusala kood]],2)</f>
        <v>09</v>
      </c>
      <c r="N235" s="41" t="str">
        <f>VLOOKUP(Table1[[#This Row],[Tegevusala kood]],Table4[[Tegevusala kood]:[Tegevusala alanimetus]],2,FALSE)</f>
        <v>Kulina Lasteaed</v>
      </c>
      <c r="O235" s="41" t="s">
        <v>1</v>
      </c>
      <c r="P235" s="41" t="s">
        <v>1</v>
      </c>
      <c r="Q235" s="41" t="str">
        <f>VLOOKUP(Table1[[#This Row],[Eelarvekonto]],Table5[[Konto]:[Kontode alanimetus]],5,FALSE)</f>
        <v>Majandamiskulud</v>
      </c>
      <c r="R235" s="42" t="str">
        <f>VLOOKUP(Table1[[#This Row],[Tegevusala kood]],Table4[[Tegevusala kood]:[Tegevusala alanimetus]],4,FALSE)</f>
        <v>Alusharidus</v>
      </c>
      <c r="S235" s="53"/>
      <c r="T235" s="53"/>
      <c r="U235" s="53">
        <f>Table1[[#This Row],[Summa]]+Table1[[#This Row],[I Muudatus]]+Table1[[#This Row],[II Muudatus]]</f>
        <v>5040</v>
      </c>
    </row>
    <row r="236" spans="1:21" ht="14.25" hidden="1" customHeight="1" x14ac:dyDescent="0.25">
      <c r="A236" s="41" t="s">
        <v>150</v>
      </c>
      <c r="B236" s="41">
        <v>444</v>
      </c>
      <c r="C236" s="52">
        <v>551102</v>
      </c>
      <c r="D236" s="52" t="str">
        <f>LEFT(Table1[[#This Row],[Eelarvekonto]],2)</f>
        <v>55</v>
      </c>
      <c r="E236" s="41" t="str">
        <f>VLOOKUP(Table1[[#This Row],[Eelarvekonto]],Table5[[Konto]:[Konto nimetus]],2,FALSE)</f>
        <v>Vesi ja kanalisatsioon</v>
      </c>
      <c r="F236" s="41" t="s">
        <v>139</v>
      </c>
      <c r="G236" s="41" t="s">
        <v>24</v>
      </c>
      <c r="J236" s="41" t="s">
        <v>296</v>
      </c>
      <c r="K236" s="41" t="s">
        <v>294</v>
      </c>
      <c r="L236" s="58" t="s">
        <v>295</v>
      </c>
      <c r="M236" s="58" t="str">
        <f>LEFT(Table1[[#This Row],[Tegevusala kood]],2)</f>
        <v>09</v>
      </c>
      <c r="N236" s="41" t="str">
        <f>VLOOKUP(Table1[[#This Row],[Tegevusala kood]],Table4[[Tegevusala kood]:[Tegevusala alanimetus]],2,FALSE)</f>
        <v>Kulina Lasteaed</v>
      </c>
      <c r="O236" s="41" t="s">
        <v>1</v>
      </c>
      <c r="P236" s="41" t="s">
        <v>1</v>
      </c>
      <c r="Q236" s="41" t="str">
        <f>VLOOKUP(Table1[[#This Row],[Eelarvekonto]],Table5[[Konto]:[Kontode alanimetus]],5,FALSE)</f>
        <v>Majandamiskulud</v>
      </c>
      <c r="R236" s="42" t="str">
        <f>VLOOKUP(Table1[[#This Row],[Tegevusala kood]],Table4[[Tegevusala kood]:[Tegevusala alanimetus]],4,FALSE)</f>
        <v>Alusharidus</v>
      </c>
      <c r="S236" s="53"/>
      <c r="T236" s="53"/>
      <c r="U236" s="53">
        <f>Table1[[#This Row],[Summa]]+Table1[[#This Row],[I Muudatus]]+Table1[[#This Row],[II Muudatus]]</f>
        <v>444</v>
      </c>
    </row>
    <row r="237" spans="1:21" ht="14.25" hidden="1" customHeight="1" x14ac:dyDescent="0.25">
      <c r="A237" s="41" t="s">
        <v>307</v>
      </c>
      <c r="B237" s="41">
        <v>298.32</v>
      </c>
      <c r="C237" s="52">
        <v>5514</v>
      </c>
      <c r="D237" s="52" t="str">
        <f>LEFT(Table1[[#This Row],[Eelarvekonto]],2)</f>
        <v>55</v>
      </c>
      <c r="E237" s="41" t="str">
        <f>VLOOKUP(Table1[[#This Row],[Eelarvekonto]],Table5[[Konto]:[Konto nimetus]],2,FALSE)</f>
        <v>Info- ja kommunikatsioonitehnoloogia kulud</v>
      </c>
      <c r="F237" s="41" t="s">
        <v>139</v>
      </c>
      <c r="G237" s="41" t="s">
        <v>24</v>
      </c>
      <c r="J237" s="41" t="s">
        <v>296</v>
      </c>
      <c r="K237" s="41" t="s">
        <v>294</v>
      </c>
      <c r="L237" s="58" t="s">
        <v>295</v>
      </c>
      <c r="M237" s="58" t="str">
        <f>LEFT(Table1[[#This Row],[Tegevusala kood]],2)</f>
        <v>09</v>
      </c>
      <c r="N237" s="41" t="str">
        <f>VLOOKUP(Table1[[#This Row],[Tegevusala kood]],Table4[[Tegevusala kood]:[Tegevusala alanimetus]],2,FALSE)</f>
        <v>Kulina Lasteaed</v>
      </c>
      <c r="O237" s="41" t="s">
        <v>1</v>
      </c>
      <c r="P237" s="41" t="s">
        <v>1</v>
      </c>
      <c r="Q237" s="41" t="str">
        <f>VLOOKUP(Table1[[#This Row],[Eelarvekonto]],Table5[[Konto]:[Kontode alanimetus]],5,FALSE)</f>
        <v>Majandamiskulud</v>
      </c>
      <c r="R237" s="42" t="str">
        <f>VLOOKUP(Table1[[#This Row],[Tegevusala kood]],Table4[[Tegevusala kood]:[Tegevusala alanimetus]],4,FALSE)</f>
        <v>Alusharidus</v>
      </c>
      <c r="S237" s="53"/>
      <c r="T237" s="53"/>
      <c r="U237" s="53">
        <f>Table1[[#This Row],[Summa]]+Table1[[#This Row],[I Muudatus]]+Table1[[#This Row],[II Muudatus]]</f>
        <v>298.32</v>
      </c>
    </row>
    <row r="238" spans="1:21" ht="14.25" hidden="1" customHeight="1" x14ac:dyDescent="0.25">
      <c r="A238" s="41" t="s">
        <v>1040</v>
      </c>
      <c r="B238" s="41">
        <v>102</v>
      </c>
      <c r="C238" s="52">
        <v>5511</v>
      </c>
      <c r="D238" s="52" t="str">
        <f>LEFT(Table1[[#This Row],[Eelarvekonto]],2)</f>
        <v>55</v>
      </c>
      <c r="E238" s="41" t="str">
        <f>VLOOKUP(Table1[[#This Row],[Eelarvekonto]],Table5[[Konto]:[Konto nimetus]],2,FALSE)</f>
        <v>Kinnistute, hoonete ja ruumide majandamiskulud</v>
      </c>
      <c r="F238" s="41" t="s">
        <v>139</v>
      </c>
      <c r="G238" s="41" t="s">
        <v>24</v>
      </c>
      <c r="J238" s="41" t="s">
        <v>296</v>
      </c>
      <c r="K238" s="41" t="s">
        <v>294</v>
      </c>
      <c r="L238" s="58" t="s">
        <v>295</v>
      </c>
      <c r="M238" s="58" t="str">
        <f>LEFT(Table1[[#This Row],[Tegevusala kood]],2)</f>
        <v>09</v>
      </c>
      <c r="N238" s="41" t="str">
        <f>VLOOKUP(Table1[[#This Row],[Tegevusala kood]],Table4[[Tegevusala kood]:[Tegevusala alanimetus]],2,FALSE)</f>
        <v>Kulina Lasteaed</v>
      </c>
      <c r="O238" s="41" t="s">
        <v>1</v>
      </c>
      <c r="P238" s="41" t="s">
        <v>1</v>
      </c>
      <c r="Q238" s="41" t="str">
        <f>VLOOKUP(Table1[[#This Row],[Eelarvekonto]],Table5[[Konto]:[Kontode alanimetus]],5,FALSE)</f>
        <v>Majandamiskulud</v>
      </c>
      <c r="R238" s="42" t="str">
        <f>VLOOKUP(Table1[[#This Row],[Tegevusala kood]],Table4[[Tegevusala kood]:[Tegevusala alanimetus]],4,FALSE)</f>
        <v>Alusharidus</v>
      </c>
      <c r="S238" s="53"/>
      <c r="T238" s="53"/>
      <c r="U238" s="53">
        <f>Table1[[#This Row],[Summa]]+Table1[[#This Row],[I Muudatus]]+Table1[[#This Row],[II Muudatus]]</f>
        <v>102</v>
      </c>
    </row>
    <row r="239" spans="1:21" ht="14.25" hidden="1" customHeight="1" x14ac:dyDescent="0.25">
      <c r="A239" s="41" t="s">
        <v>1041</v>
      </c>
      <c r="B239" s="41">
        <v>221.64</v>
      </c>
      <c r="C239" s="52">
        <v>5511</v>
      </c>
      <c r="D239" s="52" t="str">
        <f>LEFT(Table1[[#This Row],[Eelarvekonto]],2)</f>
        <v>55</v>
      </c>
      <c r="E239" s="41" t="str">
        <f>VLOOKUP(Table1[[#This Row],[Eelarvekonto]],Table5[[Konto]:[Konto nimetus]],2,FALSE)</f>
        <v>Kinnistute, hoonete ja ruumide majandamiskulud</v>
      </c>
      <c r="F239" s="41" t="s">
        <v>139</v>
      </c>
      <c r="G239" s="41" t="s">
        <v>24</v>
      </c>
      <c r="J239" s="41" t="s">
        <v>296</v>
      </c>
      <c r="K239" s="41" t="s">
        <v>294</v>
      </c>
      <c r="L239" s="58" t="s">
        <v>295</v>
      </c>
      <c r="M239" s="58" t="str">
        <f>LEFT(Table1[[#This Row],[Tegevusala kood]],2)</f>
        <v>09</v>
      </c>
      <c r="N239" s="41" t="str">
        <f>VLOOKUP(Table1[[#This Row],[Tegevusala kood]],Table4[[Tegevusala kood]:[Tegevusala alanimetus]],2,FALSE)</f>
        <v>Kulina Lasteaed</v>
      </c>
      <c r="O239" s="41" t="s">
        <v>1</v>
      </c>
      <c r="P239" s="41" t="s">
        <v>1</v>
      </c>
      <c r="Q239" s="41" t="str">
        <f>VLOOKUP(Table1[[#This Row],[Eelarvekonto]],Table5[[Konto]:[Kontode alanimetus]],5,FALSE)</f>
        <v>Majandamiskulud</v>
      </c>
      <c r="R239" s="42" t="str">
        <f>VLOOKUP(Table1[[#This Row],[Tegevusala kood]],Table4[[Tegevusala kood]:[Tegevusala alanimetus]],4,FALSE)</f>
        <v>Alusharidus</v>
      </c>
      <c r="S239" s="53"/>
      <c r="T239" s="53"/>
      <c r="U239" s="53">
        <f>Table1[[#This Row],[Summa]]+Table1[[#This Row],[I Muudatus]]+Table1[[#This Row],[II Muudatus]]</f>
        <v>221.64</v>
      </c>
    </row>
    <row r="240" spans="1:21" ht="14.25" hidden="1" customHeight="1" x14ac:dyDescent="0.25">
      <c r="A240" s="41" t="s">
        <v>486</v>
      </c>
      <c r="B240" s="41">
        <v>276.08</v>
      </c>
      <c r="C240" s="52">
        <v>5511</v>
      </c>
      <c r="D240" s="52" t="str">
        <f>LEFT(Table1[[#This Row],[Eelarvekonto]],2)</f>
        <v>55</v>
      </c>
      <c r="E240" s="41" t="str">
        <f>VLOOKUP(Table1[[#This Row],[Eelarvekonto]],Table5[[Konto]:[Konto nimetus]],2,FALSE)</f>
        <v>Kinnistute, hoonete ja ruumide majandamiskulud</v>
      </c>
      <c r="F240" s="41" t="s">
        <v>139</v>
      </c>
      <c r="G240" s="41" t="s">
        <v>24</v>
      </c>
      <c r="J240" s="41" t="s">
        <v>296</v>
      </c>
      <c r="K240" s="41" t="s">
        <v>294</v>
      </c>
      <c r="L240" s="58" t="s">
        <v>295</v>
      </c>
      <c r="M240" s="58" t="str">
        <f>LEFT(Table1[[#This Row],[Tegevusala kood]],2)</f>
        <v>09</v>
      </c>
      <c r="N240" s="41" t="str">
        <f>VLOOKUP(Table1[[#This Row],[Tegevusala kood]],Table4[[Tegevusala kood]:[Tegevusala alanimetus]],2,FALSE)</f>
        <v>Kulina Lasteaed</v>
      </c>
      <c r="O240" s="41" t="s">
        <v>1</v>
      </c>
      <c r="P240" s="41" t="s">
        <v>1</v>
      </c>
      <c r="Q240" s="41" t="str">
        <f>VLOOKUP(Table1[[#This Row],[Eelarvekonto]],Table5[[Konto]:[Kontode alanimetus]],5,FALSE)</f>
        <v>Majandamiskulud</v>
      </c>
      <c r="R240" s="42" t="str">
        <f>VLOOKUP(Table1[[#This Row],[Tegevusala kood]],Table4[[Tegevusala kood]:[Tegevusala alanimetus]],4,FALSE)</f>
        <v>Alusharidus</v>
      </c>
      <c r="S240" s="53"/>
      <c r="T240" s="53"/>
      <c r="U240" s="53">
        <f>Table1[[#This Row],[Summa]]+Table1[[#This Row],[I Muudatus]]+Table1[[#This Row],[II Muudatus]]</f>
        <v>276.08</v>
      </c>
    </row>
    <row r="241" spans="1:21" ht="14.25" hidden="1" customHeight="1" x14ac:dyDescent="0.25">
      <c r="A241" s="41" t="s">
        <v>479</v>
      </c>
      <c r="B241" s="41">
        <v>1750</v>
      </c>
      <c r="C241" s="52">
        <v>551102</v>
      </c>
      <c r="D241" s="52" t="str">
        <f>LEFT(Table1[[#This Row],[Eelarvekonto]],2)</f>
        <v>55</v>
      </c>
      <c r="E241" s="41" t="str">
        <f>VLOOKUP(Table1[[#This Row],[Eelarvekonto]],Table5[[Konto]:[Konto nimetus]],2,FALSE)</f>
        <v>Vesi ja kanalisatsioon</v>
      </c>
      <c r="F241" s="41" t="s">
        <v>139</v>
      </c>
      <c r="G241" s="41" t="s">
        <v>24</v>
      </c>
      <c r="J241" s="41" t="s">
        <v>335</v>
      </c>
      <c r="K241" s="41" t="s">
        <v>79</v>
      </c>
      <c r="L241" s="58" t="s">
        <v>334</v>
      </c>
      <c r="M241" s="58" t="str">
        <f>LEFT(Table1[[#This Row],[Tegevusala kood]],2)</f>
        <v>06</v>
      </c>
      <c r="N241" s="41" t="str">
        <f>VLOOKUP(Table1[[#This Row],[Tegevusala kood]],Table4[[Tegevusala kood]:[Tegevusala alanimetus]],2,FALSE)</f>
        <v>Laekvere teeninduspiirkond</v>
      </c>
      <c r="O241" s="41" t="s">
        <v>1</v>
      </c>
      <c r="P241" s="41" t="s">
        <v>1</v>
      </c>
      <c r="Q241" s="41" t="str">
        <f>VLOOKUP(Table1[[#This Row],[Eelarvekonto]],Table5[[Konto]:[Kontode alanimetus]],5,FALSE)</f>
        <v>Majandamiskulud</v>
      </c>
      <c r="R241" s="42" t="str">
        <f>VLOOKUP(Table1[[#This Row],[Tegevusala kood]],Table4[[Tegevusala kood]:[Tegevusala alanimetus]],4,FALSE)</f>
        <v>Muu elamu- ja kommunaalmajanduse tegevus</v>
      </c>
      <c r="S241" s="53"/>
      <c r="T241" s="53"/>
      <c r="U241" s="53">
        <f>Table1[[#This Row],[Summa]]+Table1[[#This Row],[I Muudatus]]+Table1[[#This Row],[II Muudatus]]</f>
        <v>1750</v>
      </c>
    </row>
    <row r="242" spans="1:21" ht="14.25" hidden="1" customHeight="1" x14ac:dyDescent="0.25">
      <c r="A242" s="41" t="s">
        <v>176</v>
      </c>
      <c r="B242" s="41">
        <v>200</v>
      </c>
      <c r="C242" s="52">
        <v>5511</v>
      </c>
      <c r="D242" s="52" t="str">
        <f>LEFT(Table1[[#This Row],[Eelarvekonto]],2)</f>
        <v>55</v>
      </c>
      <c r="E242" s="41" t="str">
        <f>VLOOKUP(Table1[[#This Row],[Eelarvekonto]],Table5[[Konto]:[Konto nimetus]],2,FALSE)</f>
        <v>Kinnistute, hoonete ja ruumide majandamiskulud</v>
      </c>
      <c r="F242" s="41" t="s">
        <v>139</v>
      </c>
      <c r="G242" s="41" t="s">
        <v>24</v>
      </c>
      <c r="J242" s="41" t="s">
        <v>335</v>
      </c>
      <c r="K242" s="41" t="s">
        <v>79</v>
      </c>
      <c r="L242" s="58" t="s">
        <v>334</v>
      </c>
      <c r="M242" s="58" t="str">
        <f>LEFT(Table1[[#This Row],[Tegevusala kood]],2)</f>
        <v>06</v>
      </c>
      <c r="N242" s="41" t="str">
        <f>VLOOKUP(Table1[[#This Row],[Tegevusala kood]],Table4[[Tegevusala kood]:[Tegevusala alanimetus]],2,FALSE)</f>
        <v>Laekvere teeninduspiirkond</v>
      </c>
      <c r="O242" s="41" t="s">
        <v>1</v>
      </c>
      <c r="P242" s="41" t="s">
        <v>1</v>
      </c>
      <c r="Q242" s="41" t="str">
        <f>VLOOKUP(Table1[[#This Row],[Eelarvekonto]],Table5[[Konto]:[Kontode alanimetus]],5,FALSE)</f>
        <v>Majandamiskulud</v>
      </c>
      <c r="R242" s="42" t="str">
        <f>VLOOKUP(Table1[[#This Row],[Tegevusala kood]],Table4[[Tegevusala kood]:[Tegevusala alanimetus]],4,FALSE)</f>
        <v>Muu elamu- ja kommunaalmajanduse tegevus</v>
      </c>
      <c r="S242" s="53"/>
      <c r="T242" s="53"/>
      <c r="U242" s="53">
        <f>Table1[[#This Row],[Summa]]+Table1[[#This Row],[I Muudatus]]+Table1[[#This Row],[II Muudatus]]</f>
        <v>200</v>
      </c>
    </row>
    <row r="243" spans="1:21" ht="14.25" hidden="1" customHeight="1" x14ac:dyDescent="0.25">
      <c r="A243" s="41" t="s">
        <v>1042</v>
      </c>
      <c r="B243" s="41">
        <v>212</v>
      </c>
      <c r="C243" s="52">
        <v>5515</v>
      </c>
      <c r="D243" s="52" t="str">
        <f>LEFT(Table1[[#This Row],[Eelarvekonto]],2)</f>
        <v>55</v>
      </c>
      <c r="E243" s="41" t="str">
        <f>VLOOKUP(Table1[[#This Row],[Eelarvekonto]],Table5[[Konto]:[Konto nimetus]],2,FALSE)</f>
        <v>Inventari majandamiskulud</v>
      </c>
      <c r="F243" s="41" t="s">
        <v>139</v>
      </c>
      <c r="G243" s="41" t="s">
        <v>24</v>
      </c>
      <c r="J243" s="41" t="s">
        <v>335</v>
      </c>
      <c r="K243" s="41" t="s">
        <v>79</v>
      </c>
      <c r="L243" s="58" t="s">
        <v>334</v>
      </c>
      <c r="M243" s="58" t="str">
        <f>LEFT(Table1[[#This Row],[Tegevusala kood]],2)</f>
        <v>06</v>
      </c>
      <c r="N243" s="41" t="str">
        <f>VLOOKUP(Table1[[#This Row],[Tegevusala kood]],Table4[[Tegevusala kood]:[Tegevusala alanimetus]],2,FALSE)</f>
        <v>Laekvere teeninduspiirkond</v>
      </c>
      <c r="O243" s="41" t="s">
        <v>1</v>
      </c>
      <c r="P243" s="41" t="s">
        <v>1</v>
      </c>
      <c r="Q243" s="41" t="str">
        <f>VLOOKUP(Table1[[#This Row],[Eelarvekonto]],Table5[[Konto]:[Kontode alanimetus]],5,FALSE)</f>
        <v>Majandamiskulud</v>
      </c>
      <c r="R243" s="42" t="str">
        <f>VLOOKUP(Table1[[#This Row],[Tegevusala kood]],Table4[[Tegevusala kood]:[Tegevusala alanimetus]],4,FALSE)</f>
        <v>Muu elamu- ja kommunaalmajanduse tegevus</v>
      </c>
      <c r="S243" s="53"/>
      <c r="T243" s="53"/>
      <c r="U243" s="53">
        <f>Table1[[#This Row],[Summa]]+Table1[[#This Row],[I Muudatus]]+Table1[[#This Row],[II Muudatus]]</f>
        <v>212</v>
      </c>
    </row>
    <row r="244" spans="1:21" ht="14.25" hidden="1" customHeight="1" x14ac:dyDescent="0.25">
      <c r="A244" s="41" t="s">
        <v>1043</v>
      </c>
      <c r="B244" s="41">
        <v>221.64</v>
      </c>
      <c r="C244" s="52">
        <v>5511</v>
      </c>
      <c r="D244" s="52" t="str">
        <f>LEFT(Table1[[#This Row],[Eelarvekonto]],2)</f>
        <v>55</v>
      </c>
      <c r="E244" s="41" t="str">
        <f>VLOOKUP(Table1[[#This Row],[Eelarvekonto]],Table5[[Konto]:[Konto nimetus]],2,FALSE)</f>
        <v>Kinnistute, hoonete ja ruumide majandamiskulud</v>
      </c>
      <c r="F244" s="41" t="s">
        <v>139</v>
      </c>
      <c r="G244" s="41" t="s">
        <v>24</v>
      </c>
      <c r="J244" s="41" t="s">
        <v>335</v>
      </c>
      <c r="K244" s="41" t="s">
        <v>79</v>
      </c>
      <c r="L244" s="58" t="s">
        <v>334</v>
      </c>
      <c r="M244" s="58" t="str">
        <f>LEFT(Table1[[#This Row],[Tegevusala kood]],2)</f>
        <v>06</v>
      </c>
      <c r="N244" s="41" t="str">
        <f>VLOOKUP(Table1[[#This Row],[Tegevusala kood]],Table4[[Tegevusala kood]:[Tegevusala alanimetus]],2,FALSE)</f>
        <v>Laekvere teeninduspiirkond</v>
      </c>
      <c r="O244" s="41" t="s">
        <v>1</v>
      </c>
      <c r="P244" s="41" t="s">
        <v>1</v>
      </c>
      <c r="Q244" s="41" t="str">
        <f>VLOOKUP(Table1[[#This Row],[Eelarvekonto]],Table5[[Konto]:[Kontode alanimetus]],5,FALSE)</f>
        <v>Majandamiskulud</v>
      </c>
      <c r="R244" s="42" t="str">
        <f>VLOOKUP(Table1[[#This Row],[Tegevusala kood]],Table4[[Tegevusala kood]:[Tegevusala alanimetus]],4,FALSE)</f>
        <v>Muu elamu- ja kommunaalmajanduse tegevus</v>
      </c>
      <c r="S244" s="53"/>
      <c r="T244" s="53"/>
      <c r="U244" s="53">
        <f>Table1[[#This Row],[Summa]]+Table1[[#This Row],[I Muudatus]]+Table1[[#This Row],[II Muudatus]]</f>
        <v>221.64</v>
      </c>
    </row>
    <row r="245" spans="1:21" ht="14.25" hidden="1" customHeight="1" x14ac:dyDescent="0.25">
      <c r="A245" s="41" t="s">
        <v>609</v>
      </c>
      <c r="B245" s="41">
        <v>4920</v>
      </c>
      <c r="C245" s="52">
        <v>5511</v>
      </c>
      <c r="D245" s="52" t="str">
        <f>LEFT(Table1[[#This Row],[Eelarvekonto]],2)</f>
        <v>55</v>
      </c>
      <c r="E245" s="41" t="str">
        <f>VLOOKUP(Table1[[#This Row],[Eelarvekonto]],Table5[[Konto]:[Konto nimetus]],2,FALSE)</f>
        <v>Kinnistute, hoonete ja ruumide majandamiskulud</v>
      </c>
      <c r="F245" s="41" t="s">
        <v>139</v>
      </c>
      <c r="G245" s="41" t="s">
        <v>24</v>
      </c>
      <c r="J245" s="41" t="s">
        <v>335</v>
      </c>
      <c r="K245" s="41" t="s">
        <v>79</v>
      </c>
      <c r="L245" s="58" t="s">
        <v>334</v>
      </c>
      <c r="M245" s="58" t="str">
        <f>LEFT(Table1[[#This Row],[Tegevusala kood]],2)</f>
        <v>06</v>
      </c>
      <c r="N245" s="41" t="str">
        <f>VLOOKUP(Table1[[#This Row],[Tegevusala kood]],Table4[[Tegevusala kood]:[Tegevusala alanimetus]],2,FALSE)</f>
        <v>Laekvere teeninduspiirkond</v>
      </c>
      <c r="O245" s="41" t="s">
        <v>1</v>
      </c>
      <c r="P245" s="41" t="s">
        <v>1</v>
      </c>
      <c r="Q245" s="41" t="str">
        <f>VLOOKUP(Table1[[#This Row],[Eelarvekonto]],Table5[[Konto]:[Kontode alanimetus]],5,FALSE)</f>
        <v>Majandamiskulud</v>
      </c>
      <c r="R245" s="42" t="str">
        <f>VLOOKUP(Table1[[#This Row],[Tegevusala kood]],Table4[[Tegevusala kood]:[Tegevusala alanimetus]],4,FALSE)</f>
        <v>Muu elamu- ja kommunaalmajanduse tegevus</v>
      </c>
      <c r="S245" s="53"/>
      <c r="T245" s="53"/>
      <c r="U245" s="53">
        <f>Table1[[#This Row],[Summa]]+Table1[[#This Row],[I Muudatus]]+Table1[[#This Row],[II Muudatus]]</f>
        <v>4920</v>
      </c>
    </row>
    <row r="246" spans="1:21" ht="14.25" hidden="1" customHeight="1" x14ac:dyDescent="0.25">
      <c r="A246" s="41" t="s">
        <v>207</v>
      </c>
      <c r="B246" s="41">
        <v>780</v>
      </c>
      <c r="C246" s="52">
        <v>5500</v>
      </c>
      <c r="D246" s="52" t="str">
        <f>LEFT(Table1[[#This Row],[Eelarvekonto]],2)</f>
        <v>55</v>
      </c>
      <c r="E246" s="41" t="str">
        <f>VLOOKUP(Table1[[#This Row],[Eelarvekonto]],Table5[[Konto]:[Konto nimetus]],2,FALSE)</f>
        <v>Administreerimiskulud</v>
      </c>
      <c r="F246" s="41" t="s">
        <v>139</v>
      </c>
      <c r="G246" s="41" t="s">
        <v>24</v>
      </c>
      <c r="J246" s="41" t="s">
        <v>335</v>
      </c>
      <c r="K246" s="41" t="s">
        <v>79</v>
      </c>
      <c r="L246" s="58" t="s">
        <v>334</v>
      </c>
      <c r="M246" s="58" t="str">
        <f>LEFT(Table1[[#This Row],[Tegevusala kood]],2)</f>
        <v>06</v>
      </c>
      <c r="N246" s="41" t="str">
        <f>VLOOKUP(Table1[[#This Row],[Tegevusala kood]],Table4[[Tegevusala kood]:[Tegevusala alanimetus]],2,FALSE)</f>
        <v>Laekvere teeninduspiirkond</v>
      </c>
      <c r="O246" s="41" t="s">
        <v>1</v>
      </c>
      <c r="P246" s="41" t="s">
        <v>1</v>
      </c>
      <c r="Q246" s="41" t="str">
        <f>VLOOKUP(Table1[[#This Row],[Eelarvekonto]],Table5[[Konto]:[Kontode alanimetus]],5,FALSE)</f>
        <v>Majandamiskulud</v>
      </c>
      <c r="R246" s="42" t="str">
        <f>VLOOKUP(Table1[[#This Row],[Tegevusala kood]],Table4[[Tegevusala kood]:[Tegevusala alanimetus]],4,FALSE)</f>
        <v>Muu elamu- ja kommunaalmajanduse tegevus</v>
      </c>
      <c r="S246" s="53"/>
      <c r="T246" s="53"/>
      <c r="U246" s="53">
        <f>Table1[[#This Row],[Summa]]+Table1[[#This Row],[I Muudatus]]+Table1[[#This Row],[II Muudatus]]</f>
        <v>780</v>
      </c>
    </row>
    <row r="247" spans="1:21" ht="14.25" hidden="1" customHeight="1" x14ac:dyDescent="0.25">
      <c r="A247" s="41" t="s">
        <v>1044</v>
      </c>
      <c r="B247" s="41">
        <v>2808</v>
      </c>
      <c r="C247" s="52">
        <v>5514</v>
      </c>
      <c r="D247" s="52" t="str">
        <f>LEFT(Table1[[#This Row],[Eelarvekonto]],2)</f>
        <v>55</v>
      </c>
      <c r="E247" s="41" t="str">
        <f>VLOOKUP(Table1[[#This Row],[Eelarvekonto]],Table5[[Konto]:[Konto nimetus]],2,FALSE)</f>
        <v>Info- ja kommunikatsioonitehnoloogia kulud</v>
      </c>
      <c r="F247" s="41" t="s">
        <v>139</v>
      </c>
      <c r="G247" s="41" t="s">
        <v>24</v>
      </c>
      <c r="J247" s="41" t="s">
        <v>335</v>
      </c>
      <c r="K247" s="41" t="s">
        <v>79</v>
      </c>
      <c r="L247" s="58" t="s">
        <v>334</v>
      </c>
      <c r="M247" s="58" t="str">
        <f>LEFT(Table1[[#This Row],[Tegevusala kood]],2)</f>
        <v>06</v>
      </c>
      <c r="N247" s="41" t="str">
        <f>VLOOKUP(Table1[[#This Row],[Tegevusala kood]],Table4[[Tegevusala kood]:[Tegevusala alanimetus]],2,FALSE)</f>
        <v>Laekvere teeninduspiirkond</v>
      </c>
      <c r="O247" s="41" t="s">
        <v>1</v>
      </c>
      <c r="P247" s="41" t="s">
        <v>1</v>
      </c>
      <c r="Q247" s="41" t="str">
        <f>VLOOKUP(Table1[[#This Row],[Eelarvekonto]],Table5[[Konto]:[Kontode alanimetus]],5,FALSE)</f>
        <v>Majandamiskulud</v>
      </c>
      <c r="R247" s="42" t="str">
        <f>VLOOKUP(Table1[[#This Row],[Tegevusala kood]],Table4[[Tegevusala kood]:[Tegevusala alanimetus]],4,FALSE)</f>
        <v>Muu elamu- ja kommunaalmajanduse tegevus</v>
      </c>
      <c r="S247" s="53"/>
      <c r="T247" s="53"/>
      <c r="U247" s="53">
        <f>Table1[[#This Row],[Summa]]+Table1[[#This Row],[I Muudatus]]+Table1[[#This Row],[II Muudatus]]</f>
        <v>2808</v>
      </c>
    </row>
    <row r="248" spans="1:21" ht="14.25" hidden="1" customHeight="1" x14ac:dyDescent="0.25">
      <c r="A248" s="41" t="s">
        <v>1045</v>
      </c>
      <c r="B248" s="41">
        <v>7260</v>
      </c>
      <c r="C248" s="52">
        <v>5511</v>
      </c>
      <c r="D248" s="52" t="str">
        <f>LEFT(Table1[[#This Row],[Eelarvekonto]],2)</f>
        <v>55</v>
      </c>
      <c r="E248" s="41" t="str">
        <f>VLOOKUP(Table1[[#This Row],[Eelarvekonto]],Table5[[Konto]:[Konto nimetus]],2,FALSE)</f>
        <v>Kinnistute, hoonete ja ruumide majandamiskulud</v>
      </c>
      <c r="F248" s="41" t="s">
        <v>139</v>
      </c>
      <c r="G248" s="41" t="s">
        <v>24</v>
      </c>
      <c r="J248" s="41" t="s">
        <v>335</v>
      </c>
      <c r="K248" s="41" t="s">
        <v>79</v>
      </c>
      <c r="L248" s="58" t="s">
        <v>334</v>
      </c>
      <c r="M248" s="58" t="str">
        <f>LEFT(Table1[[#This Row],[Tegevusala kood]],2)</f>
        <v>06</v>
      </c>
      <c r="N248" s="41" t="str">
        <f>VLOOKUP(Table1[[#This Row],[Tegevusala kood]],Table4[[Tegevusala kood]:[Tegevusala alanimetus]],2,FALSE)</f>
        <v>Laekvere teeninduspiirkond</v>
      </c>
      <c r="O248" s="41" t="s">
        <v>1</v>
      </c>
      <c r="P248" s="41" t="s">
        <v>1</v>
      </c>
      <c r="Q248" s="41" t="str">
        <f>VLOOKUP(Table1[[#This Row],[Eelarvekonto]],Table5[[Konto]:[Kontode alanimetus]],5,FALSE)</f>
        <v>Majandamiskulud</v>
      </c>
      <c r="R248" s="42" t="str">
        <f>VLOOKUP(Table1[[#This Row],[Tegevusala kood]],Table4[[Tegevusala kood]:[Tegevusala alanimetus]],4,FALSE)</f>
        <v>Muu elamu- ja kommunaalmajanduse tegevus</v>
      </c>
      <c r="S248" s="53"/>
      <c r="T248" s="53"/>
      <c r="U248" s="53">
        <f>Table1[[#This Row],[Summa]]+Table1[[#This Row],[I Muudatus]]+Table1[[#This Row],[II Muudatus]]</f>
        <v>7260</v>
      </c>
    </row>
    <row r="249" spans="1:21" ht="14.25" hidden="1" customHeight="1" x14ac:dyDescent="0.25">
      <c r="A249" s="41" t="s">
        <v>608</v>
      </c>
      <c r="B249" s="41">
        <v>1680</v>
      </c>
      <c r="C249" s="52">
        <v>5511</v>
      </c>
      <c r="D249" s="52" t="str">
        <f>LEFT(Table1[[#This Row],[Eelarvekonto]],2)</f>
        <v>55</v>
      </c>
      <c r="E249" s="41" t="str">
        <f>VLOOKUP(Table1[[#This Row],[Eelarvekonto]],Table5[[Konto]:[Konto nimetus]],2,FALSE)</f>
        <v>Kinnistute, hoonete ja ruumide majandamiskulud</v>
      </c>
      <c r="F249" s="41" t="s">
        <v>139</v>
      </c>
      <c r="G249" s="41" t="s">
        <v>24</v>
      </c>
      <c r="J249" s="41" t="s">
        <v>335</v>
      </c>
      <c r="K249" s="41" t="s">
        <v>79</v>
      </c>
      <c r="L249" s="58" t="s">
        <v>334</v>
      </c>
      <c r="M249" s="58" t="str">
        <f>LEFT(Table1[[#This Row],[Tegevusala kood]],2)</f>
        <v>06</v>
      </c>
      <c r="N249" s="41" t="str">
        <f>VLOOKUP(Table1[[#This Row],[Tegevusala kood]],Table4[[Tegevusala kood]:[Tegevusala alanimetus]],2,FALSE)</f>
        <v>Laekvere teeninduspiirkond</v>
      </c>
      <c r="O249" s="41" t="s">
        <v>1</v>
      </c>
      <c r="P249" s="41" t="s">
        <v>1</v>
      </c>
      <c r="Q249" s="41" t="str">
        <f>VLOOKUP(Table1[[#This Row],[Eelarvekonto]],Table5[[Konto]:[Kontode alanimetus]],5,FALSE)</f>
        <v>Majandamiskulud</v>
      </c>
      <c r="R249" s="42" t="str">
        <f>VLOOKUP(Table1[[#This Row],[Tegevusala kood]],Table4[[Tegevusala kood]:[Tegevusala alanimetus]],4,FALSE)</f>
        <v>Muu elamu- ja kommunaalmajanduse tegevus</v>
      </c>
      <c r="S249" s="53"/>
      <c r="T249" s="53"/>
      <c r="U249" s="53">
        <f>Table1[[#This Row],[Summa]]+Table1[[#This Row],[I Muudatus]]+Table1[[#This Row],[II Muudatus]]</f>
        <v>1680</v>
      </c>
    </row>
    <row r="250" spans="1:21" ht="14.25" hidden="1" customHeight="1" x14ac:dyDescent="0.25">
      <c r="A250" s="41" t="s">
        <v>607</v>
      </c>
      <c r="B250" s="41">
        <v>4920</v>
      </c>
      <c r="C250" s="52">
        <v>5511</v>
      </c>
      <c r="D250" s="52" t="str">
        <f>LEFT(Table1[[#This Row],[Eelarvekonto]],2)</f>
        <v>55</v>
      </c>
      <c r="E250" s="41" t="str">
        <f>VLOOKUP(Table1[[#This Row],[Eelarvekonto]],Table5[[Konto]:[Konto nimetus]],2,FALSE)</f>
        <v>Kinnistute, hoonete ja ruumide majandamiskulud</v>
      </c>
      <c r="F250" s="41" t="s">
        <v>139</v>
      </c>
      <c r="G250" s="41" t="s">
        <v>24</v>
      </c>
      <c r="J250" s="41" t="s">
        <v>335</v>
      </c>
      <c r="K250" s="41" t="s">
        <v>79</v>
      </c>
      <c r="L250" s="58" t="s">
        <v>334</v>
      </c>
      <c r="M250" s="58" t="str">
        <f>LEFT(Table1[[#This Row],[Tegevusala kood]],2)</f>
        <v>06</v>
      </c>
      <c r="N250" s="41" t="str">
        <f>VLOOKUP(Table1[[#This Row],[Tegevusala kood]],Table4[[Tegevusala kood]:[Tegevusala alanimetus]],2,FALSE)</f>
        <v>Laekvere teeninduspiirkond</v>
      </c>
      <c r="O250" s="41" t="s">
        <v>1</v>
      </c>
      <c r="P250" s="41" t="s">
        <v>1</v>
      </c>
      <c r="Q250" s="41" t="str">
        <f>VLOOKUP(Table1[[#This Row],[Eelarvekonto]],Table5[[Konto]:[Kontode alanimetus]],5,FALSE)</f>
        <v>Majandamiskulud</v>
      </c>
      <c r="R250" s="42" t="str">
        <f>VLOOKUP(Table1[[#This Row],[Tegevusala kood]],Table4[[Tegevusala kood]:[Tegevusala alanimetus]],4,FALSE)</f>
        <v>Muu elamu- ja kommunaalmajanduse tegevus</v>
      </c>
      <c r="S250" s="53"/>
      <c r="T250" s="53"/>
      <c r="U250" s="53">
        <f>Table1[[#This Row],[Summa]]+Table1[[#This Row],[I Muudatus]]+Table1[[#This Row],[II Muudatus]]</f>
        <v>4920</v>
      </c>
    </row>
    <row r="251" spans="1:21" ht="14.25" hidden="1" customHeight="1" x14ac:dyDescent="0.25">
      <c r="A251" s="41" t="s">
        <v>606</v>
      </c>
      <c r="B251" s="41">
        <v>720</v>
      </c>
      <c r="C251" s="52">
        <v>5511</v>
      </c>
      <c r="D251" s="52" t="str">
        <f>LEFT(Table1[[#This Row],[Eelarvekonto]],2)</f>
        <v>55</v>
      </c>
      <c r="E251" s="41" t="str">
        <f>VLOOKUP(Table1[[#This Row],[Eelarvekonto]],Table5[[Konto]:[Konto nimetus]],2,FALSE)</f>
        <v>Kinnistute, hoonete ja ruumide majandamiskulud</v>
      </c>
      <c r="F251" s="41" t="s">
        <v>139</v>
      </c>
      <c r="G251" s="41" t="s">
        <v>24</v>
      </c>
      <c r="J251" s="41" t="s">
        <v>335</v>
      </c>
      <c r="K251" s="41" t="s">
        <v>79</v>
      </c>
      <c r="L251" s="58" t="s">
        <v>334</v>
      </c>
      <c r="M251" s="58" t="str">
        <f>LEFT(Table1[[#This Row],[Tegevusala kood]],2)</f>
        <v>06</v>
      </c>
      <c r="N251" s="41" t="str">
        <f>VLOOKUP(Table1[[#This Row],[Tegevusala kood]],Table4[[Tegevusala kood]:[Tegevusala alanimetus]],2,FALSE)</f>
        <v>Laekvere teeninduspiirkond</v>
      </c>
      <c r="O251" s="41" t="s">
        <v>1</v>
      </c>
      <c r="P251" s="41" t="s">
        <v>1</v>
      </c>
      <c r="Q251" s="41" t="str">
        <f>VLOOKUP(Table1[[#This Row],[Eelarvekonto]],Table5[[Konto]:[Kontode alanimetus]],5,FALSE)</f>
        <v>Majandamiskulud</v>
      </c>
      <c r="R251" s="42" t="str">
        <f>VLOOKUP(Table1[[#This Row],[Tegevusala kood]],Table4[[Tegevusala kood]:[Tegevusala alanimetus]],4,FALSE)</f>
        <v>Muu elamu- ja kommunaalmajanduse tegevus</v>
      </c>
      <c r="S251" s="53"/>
      <c r="T251" s="53"/>
      <c r="U251" s="53">
        <f>Table1[[#This Row],[Summa]]+Table1[[#This Row],[I Muudatus]]+Table1[[#This Row],[II Muudatus]]</f>
        <v>720</v>
      </c>
    </row>
    <row r="252" spans="1:21" ht="14.25" hidden="1" customHeight="1" x14ac:dyDescent="0.25">
      <c r="A252" s="41" t="s">
        <v>531</v>
      </c>
      <c r="B252" s="41">
        <v>317.64</v>
      </c>
      <c r="C252" s="52">
        <v>5511</v>
      </c>
      <c r="D252" s="52" t="str">
        <f>LEFT(Table1[[#This Row],[Eelarvekonto]],2)</f>
        <v>55</v>
      </c>
      <c r="E252" s="41" t="str">
        <f>VLOOKUP(Table1[[#This Row],[Eelarvekonto]],Table5[[Konto]:[Konto nimetus]],2,FALSE)</f>
        <v>Kinnistute, hoonete ja ruumide majandamiskulud</v>
      </c>
      <c r="F252" s="41" t="s">
        <v>139</v>
      </c>
      <c r="G252" s="41" t="s">
        <v>24</v>
      </c>
      <c r="J252" s="41" t="s">
        <v>335</v>
      </c>
      <c r="K252" s="41" t="s">
        <v>79</v>
      </c>
      <c r="L252" s="58" t="s">
        <v>334</v>
      </c>
      <c r="M252" s="58" t="str">
        <f>LEFT(Table1[[#This Row],[Tegevusala kood]],2)</f>
        <v>06</v>
      </c>
      <c r="N252" s="41" t="str">
        <f>VLOOKUP(Table1[[#This Row],[Tegevusala kood]],Table4[[Tegevusala kood]:[Tegevusala alanimetus]],2,FALSE)</f>
        <v>Laekvere teeninduspiirkond</v>
      </c>
      <c r="O252" s="41" t="s">
        <v>1</v>
      </c>
      <c r="P252" s="41" t="s">
        <v>1</v>
      </c>
      <c r="Q252" s="41" t="str">
        <f>VLOOKUP(Table1[[#This Row],[Eelarvekonto]],Table5[[Konto]:[Kontode alanimetus]],5,FALSE)</f>
        <v>Majandamiskulud</v>
      </c>
      <c r="R252" s="42" t="str">
        <f>VLOOKUP(Table1[[#This Row],[Tegevusala kood]],Table4[[Tegevusala kood]:[Tegevusala alanimetus]],4,FALSE)</f>
        <v>Muu elamu- ja kommunaalmajanduse tegevus</v>
      </c>
      <c r="S252" s="53"/>
      <c r="T252" s="53"/>
      <c r="U252" s="53">
        <f>Table1[[#This Row],[Summa]]+Table1[[#This Row],[I Muudatus]]+Table1[[#This Row],[II Muudatus]]</f>
        <v>317.64</v>
      </c>
    </row>
    <row r="253" spans="1:21" ht="14.25" hidden="1" customHeight="1" x14ac:dyDescent="0.25">
      <c r="A253" s="41" t="s">
        <v>605</v>
      </c>
      <c r="B253" s="41">
        <v>684</v>
      </c>
      <c r="C253" s="52">
        <v>5511</v>
      </c>
      <c r="D253" s="52" t="str">
        <f>LEFT(Table1[[#This Row],[Eelarvekonto]],2)</f>
        <v>55</v>
      </c>
      <c r="E253" s="41" t="str">
        <f>VLOOKUP(Table1[[#This Row],[Eelarvekonto]],Table5[[Konto]:[Konto nimetus]],2,FALSE)</f>
        <v>Kinnistute, hoonete ja ruumide majandamiskulud</v>
      </c>
      <c r="F253" s="41" t="s">
        <v>139</v>
      </c>
      <c r="G253" s="41" t="s">
        <v>24</v>
      </c>
      <c r="J253" s="41" t="s">
        <v>335</v>
      </c>
      <c r="K253" s="41" t="s">
        <v>79</v>
      </c>
      <c r="L253" s="58" t="s">
        <v>334</v>
      </c>
      <c r="M253" s="58" t="str">
        <f>LEFT(Table1[[#This Row],[Tegevusala kood]],2)</f>
        <v>06</v>
      </c>
      <c r="N253" s="41" t="str">
        <f>VLOOKUP(Table1[[#This Row],[Tegevusala kood]],Table4[[Tegevusala kood]:[Tegevusala alanimetus]],2,FALSE)</f>
        <v>Laekvere teeninduspiirkond</v>
      </c>
      <c r="O253" s="41" t="s">
        <v>1</v>
      </c>
      <c r="P253" s="41" t="s">
        <v>1</v>
      </c>
      <c r="Q253" s="41" t="str">
        <f>VLOOKUP(Table1[[#This Row],[Eelarvekonto]],Table5[[Konto]:[Kontode alanimetus]],5,FALSE)</f>
        <v>Majandamiskulud</v>
      </c>
      <c r="R253" s="42" t="str">
        <f>VLOOKUP(Table1[[#This Row],[Tegevusala kood]],Table4[[Tegevusala kood]:[Tegevusala alanimetus]],4,FALSE)</f>
        <v>Muu elamu- ja kommunaalmajanduse tegevus</v>
      </c>
      <c r="S253" s="53"/>
      <c r="T253" s="53"/>
      <c r="U253" s="53">
        <f>Table1[[#This Row],[Summa]]+Table1[[#This Row],[I Muudatus]]+Table1[[#This Row],[II Muudatus]]</f>
        <v>684</v>
      </c>
    </row>
    <row r="254" spans="1:21" ht="14.25" hidden="1" customHeight="1" x14ac:dyDescent="0.25">
      <c r="A254" s="41" t="s">
        <v>604</v>
      </c>
      <c r="B254" s="41">
        <v>662.4</v>
      </c>
      <c r="C254" s="52">
        <v>5511</v>
      </c>
      <c r="D254" s="52" t="str">
        <f>LEFT(Table1[[#This Row],[Eelarvekonto]],2)</f>
        <v>55</v>
      </c>
      <c r="E254" s="41" t="str">
        <f>VLOOKUP(Table1[[#This Row],[Eelarvekonto]],Table5[[Konto]:[Konto nimetus]],2,FALSE)</f>
        <v>Kinnistute, hoonete ja ruumide majandamiskulud</v>
      </c>
      <c r="F254" s="41" t="s">
        <v>139</v>
      </c>
      <c r="G254" s="41" t="s">
        <v>24</v>
      </c>
      <c r="J254" s="41" t="s">
        <v>335</v>
      </c>
      <c r="K254" s="41" t="s">
        <v>79</v>
      </c>
      <c r="L254" s="58" t="s">
        <v>334</v>
      </c>
      <c r="M254" s="58" t="str">
        <f>LEFT(Table1[[#This Row],[Tegevusala kood]],2)</f>
        <v>06</v>
      </c>
      <c r="N254" s="41" t="str">
        <f>VLOOKUP(Table1[[#This Row],[Tegevusala kood]],Table4[[Tegevusala kood]:[Tegevusala alanimetus]],2,FALSE)</f>
        <v>Laekvere teeninduspiirkond</v>
      </c>
      <c r="O254" s="41" t="s">
        <v>1</v>
      </c>
      <c r="P254" s="41" t="s">
        <v>1</v>
      </c>
      <c r="Q254" s="41" t="str">
        <f>VLOOKUP(Table1[[#This Row],[Eelarvekonto]],Table5[[Konto]:[Kontode alanimetus]],5,FALSE)</f>
        <v>Majandamiskulud</v>
      </c>
      <c r="R254" s="42" t="str">
        <f>VLOOKUP(Table1[[#This Row],[Tegevusala kood]],Table4[[Tegevusala kood]:[Tegevusala alanimetus]],4,FALSE)</f>
        <v>Muu elamu- ja kommunaalmajanduse tegevus</v>
      </c>
      <c r="S254" s="53"/>
      <c r="T254" s="53"/>
      <c r="U254" s="53">
        <f>Table1[[#This Row],[Summa]]+Table1[[#This Row],[I Muudatus]]+Table1[[#This Row],[II Muudatus]]</f>
        <v>662.4</v>
      </c>
    </row>
    <row r="255" spans="1:21" ht="14.25" hidden="1" customHeight="1" x14ac:dyDescent="0.25">
      <c r="A255" s="41" t="s">
        <v>603</v>
      </c>
      <c r="B255" s="41">
        <v>5400</v>
      </c>
      <c r="C255" s="52">
        <v>5540</v>
      </c>
      <c r="D255" s="52" t="str">
        <f>LEFT(Table1[[#This Row],[Eelarvekonto]],2)</f>
        <v>55</v>
      </c>
      <c r="E255" s="41" t="str">
        <f>VLOOKUP(Table1[[#This Row],[Eelarvekonto]],Table5[[Konto]:[Konto nimetus]],2,FALSE)</f>
        <v>Mitmesugused majanduskulud</v>
      </c>
      <c r="F255" s="41" t="s">
        <v>139</v>
      </c>
      <c r="G255" s="41" t="s">
        <v>24</v>
      </c>
      <c r="J255" s="41" t="s">
        <v>335</v>
      </c>
      <c r="K255" s="41" t="s">
        <v>79</v>
      </c>
      <c r="L255" s="58" t="s">
        <v>334</v>
      </c>
      <c r="M255" s="58" t="str">
        <f>LEFT(Table1[[#This Row],[Tegevusala kood]],2)</f>
        <v>06</v>
      </c>
      <c r="N255" s="41" t="str">
        <f>VLOOKUP(Table1[[#This Row],[Tegevusala kood]],Table4[[Tegevusala kood]:[Tegevusala alanimetus]],2,FALSE)</f>
        <v>Laekvere teeninduspiirkond</v>
      </c>
      <c r="O255" s="41" t="s">
        <v>1</v>
      </c>
      <c r="P255" s="41" t="s">
        <v>1</v>
      </c>
      <c r="Q255" s="41" t="str">
        <f>VLOOKUP(Table1[[#This Row],[Eelarvekonto]],Table5[[Konto]:[Kontode alanimetus]],5,FALSE)</f>
        <v>Majandamiskulud</v>
      </c>
      <c r="R255" s="42" t="str">
        <f>VLOOKUP(Table1[[#This Row],[Tegevusala kood]],Table4[[Tegevusala kood]:[Tegevusala alanimetus]],4,FALSE)</f>
        <v>Muu elamu- ja kommunaalmajanduse tegevus</v>
      </c>
      <c r="S255" s="53"/>
      <c r="T255" s="53"/>
      <c r="U255" s="53">
        <f>Table1[[#This Row],[Summa]]+Table1[[#This Row],[I Muudatus]]+Table1[[#This Row],[II Muudatus]]</f>
        <v>5400</v>
      </c>
    </row>
    <row r="256" spans="1:21" ht="14.25" hidden="1" customHeight="1" x14ac:dyDescent="0.25">
      <c r="A256" s="41" t="s">
        <v>602</v>
      </c>
      <c r="B256" s="41">
        <v>201.6</v>
      </c>
      <c r="C256" s="52">
        <v>5511</v>
      </c>
      <c r="D256" s="52" t="str">
        <f>LEFT(Table1[[#This Row],[Eelarvekonto]],2)</f>
        <v>55</v>
      </c>
      <c r="E256" s="41" t="str">
        <f>VLOOKUP(Table1[[#This Row],[Eelarvekonto]],Table5[[Konto]:[Konto nimetus]],2,FALSE)</f>
        <v>Kinnistute, hoonete ja ruumide majandamiskulud</v>
      </c>
      <c r="F256" s="41" t="s">
        <v>139</v>
      </c>
      <c r="G256" s="41" t="s">
        <v>24</v>
      </c>
      <c r="J256" s="41" t="s">
        <v>335</v>
      </c>
      <c r="K256" s="41" t="s">
        <v>79</v>
      </c>
      <c r="L256" s="58" t="s">
        <v>334</v>
      </c>
      <c r="M256" s="58" t="str">
        <f>LEFT(Table1[[#This Row],[Tegevusala kood]],2)</f>
        <v>06</v>
      </c>
      <c r="N256" s="41" t="str">
        <f>VLOOKUP(Table1[[#This Row],[Tegevusala kood]],Table4[[Tegevusala kood]:[Tegevusala alanimetus]],2,FALSE)</f>
        <v>Laekvere teeninduspiirkond</v>
      </c>
      <c r="O256" s="41" t="s">
        <v>1</v>
      </c>
      <c r="P256" s="41" t="s">
        <v>1</v>
      </c>
      <c r="Q256" s="41" t="str">
        <f>VLOOKUP(Table1[[#This Row],[Eelarvekonto]],Table5[[Konto]:[Kontode alanimetus]],5,FALSE)</f>
        <v>Majandamiskulud</v>
      </c>
      <c r="R256" s="42" t="str">
        <f>VLOOKUP(Table1[[#This Row],[Tegevusala kood]],Table4[[Tegevusala kood]:[Tegevusala alanimetus]],4,FALSE)</f>
        <v>Muu elamu- ja kommunaalmajanduse tegevus</v>
      </c>
      <c r="S256" s="53"/>
      <c r="T256" s="53"/>
      <c r="U256" s="53">
        <f>Table1[[#This Row],[Summa]]+Table1[[#This Row],[I Muudatus]]+Table1[[#This Row],[II Muudatus]]</f>
        <v>201.6</v>
      </c>
    </row>
    <row r="257" spans="1:21" ht="14.25" hidden="1" customHeight="1" x14ac:dyDescent="0.25">
      <c r="A257" s="41" t="s">
        <v>253</v>
      </c>
      <c r="B257" s="41">
        <v>3000</v>
      </c>
      <c r="C257" s="52">
        <v>551300</v>
      </c>
      <c r="D257" s="52" t="str">
        <f>LEFT(Table1[[#This Row],[Eelarvekonto]],2)</f>
        <v>55</v>
      </c>
      <c r="E257" s="41" t="str">
        <f>VLOOKUP(Table1[[#This Row],[Eelarvekonto]],Table5[[Konto]:[Konto nimetus]],2,FALSE)</f>
        <v>Kütus</v>
      </c>
      <c r="F257" s="41" t="s">
        <v>139</v>
      </c>
      <c r="G257" s="41" t="s">
        <v>24</v>
      </c>
      <c r="J257" s="41" t="s">
        <v>335</v>
      </c>
      <c r="K257" s="41" t="s">
        <v>79</v>
      </c>
      <c r="L257" s="58" t="s">
        <v>334</v>
      </c>
      <c r="M257" s="58" t="str">
        <f>LEFT(Table1[[#This Row],[Tegevusala kood]],2)</f>
        <v>06</v>
      </c>
      <c r="N257" s="41" t="str">
        <f>VLOOKUP(Table1[[#This Row],[Tegevusala kood]],Table4[[Tegevusala kood]:[Tegevusala alanimetus]],2,FALSE)</f>
        <v>Laekvere teeninduspiirkond</v>
      </c>
      <c r="O257" s="41" t="s">
        <v>1</v>
      </c>
      <c r="P257" s="41" t="s">
        <v>1</v>
      </c>
      <c r="Q257" s="41" t="str">
        <f>VLOOKUP(Table1[[#This Row],[Eelarvekonto]],Table5[[Konto]:[Kontode alanimetus]],5,FALSE)</f>
        <v>Majandamiskulud</v>
      </c>
      <c r="R257" s="42" t="str">
        <f>VLOOKUP(Table1[[#This Row],[Tegevusala kood]],Table4[[Tegevusala kood]:[Tegevusala alanimetus]],4,FALSE)</f>
        <v>Muu elamu- ja kommunaalmajanduse tegevus</v>
      </c>
      <c r="S257" s="53"/>
      <c r="T257" s="53"/>
      <c r="U257" s="53">
        <f>Table1[[#This Row],[Summa]]+Table1[[#This Row],[I Muudatus]]+Table1[[#This Row],[II Muudatus]]</f>
        <v>3000</v>
      </c>
    </row>
    <row r="258" spans="1:21" ht="14.25" hidden="1" customHeight="1" x14ac:dyDescent="0.25">
      <c r="A258" s="41" t="s">
        <v>1046</v>
      </c>
      <c r="B258" s="41">
        <v>350</v>
      </c>
      <c r="C258" s="52">
        <v>5513</v>
      </c>
      <c r="D258" s="52" t="str">
        <f>LEFT(Table1[[#This Row],[Eelarvekonto]],2)</f>
        <v>55</v>
      </c>
      <c r="E258" s="41" t="str">
        <f>VLOOKUP(Table1[[#This Row],[Eelarvekonto]],Table5[[Konto]:[Konto nimetus]],2,FALSE)</f>
        <v>Sõidukite ülalpidamise kulud</v>
      </c>
      <c r="F258" s="41" t="s">
        <v>139</v>
      </c>
      <c r="G258" s="41" t="s">
        <v>24</v>
      </c>
      <c r="J258" s="41" t="s">
        <v>335</v>
      </c>
      <c r="K258" s="41" t="s">
        <v>79</v>
      </c>
      <c r="L258" s="58" t="s">
        <v>334</v>
      </c>
      <c r="M258" s="58" t="str">
        <f>LEFT(Table1[[#This Row],[Tegevusala kood]],2)</f>
        <v>06</v>
      </c>
      <c r="N258" s="41" t="str">
        <f>VLOOKUP(Table1[[#This Row],[Tegevusala kood]],Table4[[Tegevusala kood]:[Tegevusala alanimetus]],2,FALSE)</f>
        <v>Laekvere teeninduspiirkond</v>
      </c>
      <c r="O258" s="41" t="s">
        <v>1</v>
      </c>
      <c r="P258" s="41" t="s">
        <v>1</v>
      </c>
      <c r="Q258" s="41" t="str">
        <f>VLOOKUP(Table1[[#This Row],[Eelarvekonto]],Table5[[Konto]:[Kontode alanimetus]],5,FALSE)</f>
        <v>Majandamiskulud</v>
      </c>
      <c r="R258" s="42" t="str">
        <f>VLOOKUP(Table1[[#This Row],[Tegevusala kood]],Table4[[Tegevusala kood]:[Tegevusala alanimetus]],4,FALSE)</f>
        <v>Muu elamu- ja kommunaalmajanduse tegevus</v>
      </c>
      <c r="S258" s="53"/>
      <c r="T258" s="53"/>
      <c r="U258" s="53">
        <f>Table1[[#This Row],[Summa]]+Table1[[#This Row],[I Muudatus]]+Table1[[#This Row],[II Muudatus]]</f>
        <v>350</v>
      </c>
    </row>
    <row r="259" spans="1:21" ht="14.25" hidden="1" customHeight="1" x14ac:dyDescent="0.25">
      <c r="A259" s="41" t="s">
        <v>1047</v>
      </c>
      <c r="B259" s="41">
        <v>200</v>
      </c>
      <c r="C259" s="52">
        <v>5513</v>
      </c>
      <c r="D259" s="52" t="str">
        <f>LEFT(Table1[[#This Row],[Eelarvekonto]],2)</f>
        <v>55</v>
      </c>
      <c r="E259" s="41" t="str">
        <f>VLOOKUP(Table1[[#This Row],[Eelarvekonto]],Table5[[Konto]:[Konto nimetus]],2,FALSE)</f>
        <v>Sõidukite ülalpidamise kulud</v>
      </c>
      <c r="F259" s="41" t="s">
        <v>139</v>
      </c>
      <c r="G259" s="41" t="s">
        <v>24</v>
      </c>
      <c r="J259" s="41" t="s">
        <v>335</v>
      </c>
      <c r="K259" s="41" t="s">
        <v>79</v>
      </c>
      <c r="L259" s="58" t="s">
        <v>334</v>
      </c>
      <c r="M259" s="58" t="str">
        <f>LEFT(Table1[[#This Row],[Tegevusala kood]],2)</f>
        <v>06</v>
      </c>
      <c r="N259" s="41" t="str">
        <f>VLOOKUP(Table1[[#This Row],[Tegevusala kood]],Table4[[Tegevusala kood]:[Tegevusala alanimetus]],2,FALSE)</f>
        <v>Laekvere teeninduspiirkond</v>
      </c>
      <c r="O259" s="41" t="s">
        <v>1</v>
      </c>
      <c r="P259" s="41" t="s">
        <v>1</v>
      </c>
      <c r="Q259" s="41" t="str">
        <f>VLOOKUP(Table1[[#This Row],[Eelarvekonto]],Table5[[Konto]:[Kontode alanimetus]],5,FALSE)</f>
        <v>Majandamiskulud</v>
      </c>
      <c r="R259" s="42" t="str">
        <f>VLOOKUP(Table1[[#This Row],[Tegevusala kood]],Table4[[Tegevusala kood]:[Tegevusala alanimetus]],4,FALSE)</f>
        <v>Muu elamu- ja kommunaalmajanduse tegevus</v>
      </c>
      <c r="S259" s="53"/>
      <c r="T259" s="53"/>
      <c r="U259" s="53">
        <f>Table1[[#This Row],[Summa]]+Table1[[#This Row],[I Muudatus]]+Table1[[#This Row],[II Muudatus]]</f>
        <v>200</v>
      </c>
    </row>
    <row r="260" spans="1:21" ht="14.25" hidden="1" customHeight="1" x14ac:dyDescent="0.25">
      <c r="A260" s="41" t="s">
        <v>1048</v>
      </c>
      <c r="B260" s="41">
        <v>1750</v>
      </c>
      <c r="C260" s="52">
        <v>551307</v>
      </c>
      <c r="D260" s="52" t="str">
        <f>LEFT(Table1[[#This Row],[Eelarvekonto]],2)</f>
        <v>55</v>
      </c>
      <c r="E260" s="41" t="str">
        <f>VLOOKUP(Table1[[#This Row],[Eelarvekonto]],Table5[[Konto]:[Konto nimetus]],2,FALSE)</f>
        <v>Kindlustus</v>
      </c>
      <c r="F260" s="41" t="s">
        <v>139</v>
      </c>
      <c r="G260" s="41" t="s">
        <v>24</v>
      </c>
      <c r="J260" s="41" t="s">
        <v>335</v>
      </c>
      <c r="K260" s="41" t="s">
        <v>79</v>
      </c>
      <c r="L260" s="58" t="s">
        <v>334</v>
      </c>
      <c r="M260" s="58" t="str">
        <f>LEFT(Table1[[#This Row],[Tegevusala kood]],2)</f>
        <v>06</v>
      </c>
      <c r="N260" s="41" t="str">
        <f>VLOOKUP(Table1[[#This Row],[Tegevusala kood]],Table4[[Tegevusala kood]:[Tegevusala alanimetus]],2,FALSE)</f>
        <v>Laekvere teeninduspiirkond</v>
      </c>
      <c r="O260" s="41" t="s">
        <v>1</v>
      </c>
      <c r="P260" s="41" t="s">
        <v>1</v>
      </c>
      <c r="Q260" s="41" t="str">
        <f>VLOOKUP(Table1[[#This Row],[Eelarvekonto]],Table5[[Konto]:[Kontode alanimetus]],5,FALSE)</f>
        <v>Majandamiskulud</v>
      </c>
      <c r="R260" s="42" t="str">
        <f>VLOOKUP(Table1[[#This Row],[Tegevusala kood]],Table4[[Tegevusala kood]:[Tegevusala alanimetus]],4,FALSE)</f>
        <v>Muu elamu- ja kommunaalmajanduse tegevus</v>
      </c>
      <c r="S260" s="53"/>
      <c r="T260" s="53"/>
      <c r="U260" s="53">
        <f>Table1[[#This Row],[Summa]]+Table1[[#This Row],[I Muudatus]]+Table1[[#This Row],[II Muudatus]]</f>
        <v>1750</v>
      </c>
    </row>
    <row r="261" spans="1:21" ht="14.25" hidden="1" customHeight="1" x14ac:dyDescent="0.25">
      <c r="A261" s="41" t="s">
        <v>601</v>
      </c>
      <c r="B261" s="41">
        <v>3033.24</v>
      </c>
      <c r="C261" s="52">
        <v>551308</v>
      </c>
      <c r="D261" s="52" t="str">
        <f>LEFT(Table1[[#This Row],[Eelarvekonto]],2)</f>
        <v>55</v>
      </c>
      <c r="E261" s="41" t="str">
        <f>VLOOKUP(Table1[[#This Row],[Eelarvekonto]],Table5[[Konto]:[Konto nimetus]],2,FALSE)</f>
        <v>Sõidukite kasutusrent</v>
      </c>
      <c r="F261" s="41" t="s">
        <v>139</v>
      </c>
      <c r="G261" s="41" t="s">
        <v>24</v>
      </c>
      <c r="J261" s="41" t="s">
        <v>335</v>
      </c>
      <c r="K261" s="41" t="s">
        <v>79</v>
      </c>
      <c r="L261" s="58" t="s">
        <v>334</v>
      </c>
      <c r="M261" s="58" t="str">
        <f>LEFT(Table1[[#This Row],[Tegevusala kood]],2)</f>
        <v>06</v>
      </c>
      <c r="N261" s="41" t="str">
        <f>VLOOKUP(Table1[[#This Row],[Tegevusala kood]],Table4[[Tegevusala kood]:[Tegevusala alanimetus]],2,FALSE)</f>
        <v>Laekvere teeninduspiirkond</v>
      </c>
      <c r="O261" s="41" t="s">
        <v>1</v>
      </c>
      <c r="P261" s="41" t="s">
        <v>1</v>
      </c>
      <c r="Q261" s="41" t="str">
        <f>VLOOKUP(Table1[[#This Row],[Eelarvekonto]],Table5[[Konto]:[Kontode alanimetus]],5,FALSE)</f>
        <v>Majandamiskulud</v>
      </c>
      <c r="R261" s="42" t="str">
        <f>VLOOKUP(Table1[[#This Row],[Tegevusala kood]],Table4[[Tegevusala kood]:[Tegevusala alanimetus]],4,FALSE)</f>
        <v>Muu elamu- ja kommunaalmajanduse tegevus</v>
      </c>
      <c r="S261" s="53"/>
      <c r="T261" s="53"/>
      <c r="U261" s="53">
        <f>Table1[[#This Row],[Summa]]+Table1[[#This Row],[I Muudatus]]+Table1[[#This Row],[II Muudatus]]</f>
        <v>3033.24</v>
      </c>
    </row>
    <row r="262" spans="1:21" ht="14.25" hidden="1" customHeight="1" x14ac:dyDescent="0.25">
      <c r="A262" s="41" t="s">
        <v>1049</v>
      </c>
      <c r="B262" s="41">
        <v>1000</v>
      </c>
      <c r="C262" s="52">
        <v>5511</v>
      </c>
      <c r="D262" s="52" t="str">
        <f>LEFT(Table1[[#This Row],[Eelarvekonto]],2)</f>
        <v>55</v>
      </c>
      <c r="E262" s="41" t="str">
        <f>VLOOKUP(Table1[[#This Row],[Eelarvekonto]],Table5[[Konto]:[Konto nimetus]],2,FALSE)</f>
        <v>Kinnistute, hoonete ja ruumide majandamiskulud</v>
      </c>
      <c r="F262" s="41" t="s">
        <v>139</v>
      </c>
      <c r="G262" s="41" t="s">
        <v>24</v>
      </c>
      <c r="J262" s="41" t="s">
        <v>335</v>
      </c>
      <c r="K262" s="41" t="s">
        <v>79</v>
      </c>
      <c r="L262" s="58" t="s">
        <v>334</v>
      </c>
      <c r="M262" s="58" t="str">
        <f>LEFT(Table1[[#This Row],[Tegevusala kood]],2)</f>
        <v>06</v>
      </c>
      <c r="N262" s="41" t="str">
        <f>VLOOKUP(Table1[[#This Row],[Tegevusala kood]],Table4[[Tegevusala kood]:[Tegevusala alanimetus]],2,FALSE)</f>
        <v>Laekvere teeninduspiirkond</v>
      </c>
      <c r="O262" s="41" t="s">
        <v>1</v>
      </c>
      <c r="P262" s="41" t="s">
        <v>1</v>
      </c>
      <c r="Q262" s="41" t="str">
        <f>VLOOKUP(Table1[[#This Row],[Eelarvekonto]],Table5[[Konto]:[Kontode alanimetus]],5,FALSE)</f>
        <v>Majandamiskulud</v>
      </c>
      <c r="R262" s="42" t="str">
        <f>VLOOKUP(Table1[[#This Row],[Tegevusala kood]],Table4[[Tegevusala kood]:[Tegevusala alanimetus]],4,FALSE)</f>
        <v>Muu elamu- ja kommunaalmajanduse tegevus</v>
      </c>
      <c r="S262" s="53"/>
      <c r="T262" s="53"/>
      <c r="U262" s="53">
        <f>Table1[[#This Row],[Summa]]+Table1[[#This Row],[I Muudatus]]+Table1[[#This Row],[II Muudatus]]</f>
        <v>1000</v>
      </c>
    </row>
    <row r="263" spans="1:21" ht="14.25" hidden="1" customHeight="1" x14ac:dyDescent="0.25">
      <c r="A263" s="41" t="s">
        <v>1050</v>
      </c>
      <c r="B263" s="41">
        <v>9360</v>
      </c>
      <c r="C263" s="52">
        <v>5511</v>
      </c>
      <c r="D263" s="52" t="str">
        <f>LEFT(Table1[[#This Row],[Eelarvekonto]],2)</f>
        <v>55</v>
      </c>
      <c r="E263" s="41" t="str">
        <f>VLOOKUP(Table1[[#This Row],[Eelarvekonto]],Table5[[Konto]:[Konto nimetus]],2,FALSE)</f>
        <v>Kinnistute, hoonete ja ruumide majandamiskulud</v>
      </c>
      <c r="F263" s="41" t="s">
        <v>139</v>
      </c>
      <c r="G263" s="41" t="s">
        <v>24</v>
      </c>
      <c r="J263" s="41" t="s">
        <v>335</v>
      </c>
      <c r="K263" s="41" t="s">
        <v>79</v>
      </c>
      <c r="L263" s="58" t="s">
        <v>334</v>
      </c>
      <c r="M263" s="58" t="str">
        <f>LEFT(Table1[[#This Row],[Tegevusala kood]],2)</f>
        <v>06</v>
      </c>
      <c r="N263" s="41" t="str">
        <f>VLOOKUP(Table1[[#This Row],[Tegevusala kood]],Table4[[Tegevusala kood]:[Tegevusala alanimetus]],2,FALSE)</f>
        <v>Laekvere teeninduspiirkond</v>
      </c>
      <c r="O263" s="41" t="s">
        <v>1</v>
      </c>
      <c r="P263" s="41" t="s">
        <v>1</v>
      </c>
      <c r="Q263" s="41" t="str">
        <f>VLOOKUP(Table1[[#This Row],[Eelarvekonto]],Table5[[Konto]:[Kontode alanimetus]],5,FALSE)</f>
        <v>Majandamiskulud</v>
      </c>
      <c r="R263" s="42" t="str">
        <f>VLOOKUP(Table1[[#This Row],[Tegevusala kood]],Table4[[Tegevusala kood]:[Tegevusala alanimetus]],4,FALSE)</f>
        <v>Muu elamu- ja kommunaalmajanduse tegevus</v>
      </c>
      <c r="S263" s="53"/>
      <c r="T263" s="53"/>
      <c r="U263" s="53">
        <f>Table1[[#This Row],[Summa]]+Table1[[#This Row],[I Muudatus]]+Table1[[#This Row],[II Muudatus]]</f>
        <v>9360</v>
      </c>
    </row>
    <row r="264" spans="1:21" ht="14.25" hidden="1" customHeight="1" x14ac:dyDescent="0.25">
      <c r="A264" s="41" t="s">
        <v>483</v>
      </c>
      <c r="B264" s="41">
        <v>540</v>
      </c>
      <c r="C264" s="52">
        <v>551102</v>
      </c>
      <c r="D264" s="52" t="str">
        <f>LEFT(Table1[[#This Row],[Eelarvekonto]],2)</f>
        <v>55</v>
      </c>
      <c r="E264" s="41" t="str">
        <f>VLOOKUP(Table1[[#This Row],[Eelarvekonto]],Table5[[Konto]:[Konto nimetus]],2,FALSE)</f>
        <v>Vesi ja kanalisatsioon</v>
      </c>
      <c r="F264" s="41" t="s">
        <v>139</v>
      </c>
      <c r="G264" s="41" t="s">
        <v>24</v>
      </c>
      <c r="J264" s="41" t="s">
        <v>335</v>
      </c>
      <c r="K264" s="41" t="s">
        <v>79</v>
      </c>
      <c r="L264" s="58" t="s">
        <v>334</v>
      </c>
      <c r="M264" s="58" t="str">
        <f>LEFT(Table1[[#This Row],[Tegevusala kood]],2)</f>
        <v>06</v>
      </c>
      <c r="N264" s="41" t="str">
        <f>VLOOKUP(Table1[[#This Row],[Tegevusala kood]],Table4[[Tegevusala kood]:[Tegevusala alanimetus]],2,FALSE)</f>
        <v>Laekvere teeninduspiirkond</v>
      </c>
      <c r="O264" s="41" t="s">
        <v>1</v>
      </c>
      <c r="P264" s="41" t="s">
        <v>1</v>
      </c>
      <c r="Q264" s="41" t="str">
        <f>VLOOKUP(Table1[[#This Row],[Eelarvekonto]],Table5[[Konto]:[Kontode alanimetus]],5,FALSE)</f>
        <v>Majandamiskulud</v>
      </c>
      <c r="R264" s="42" t="str">
        <f>VLOOKUP(Table1[[#This Row],[Tegevusala kood]],Table4[[Tegevusala kood]:[Tegevusala alanimetus]],4,FALSE)</f>
        <v>Muu elamu- ja kommunaalmajanduse tegevus</v>
      </c>
      <c r="S264" s="53"/>
      <c r="T264" s="53"/>
      <c r="U264" s="53">
        <f>Table1[[#This Row],[Summa]]+Table1[[#This Row],[I Muudatus]]+Table1[[#This Row],[II Muudatus]]</f>
        <v>540</v>
      </c>
    </row>
    <row r="265" spans="1:21" ht="14.25" hidden="1" customHeight="1" x14ac:dyDescent="0.25">
      <c r="A265" s="41" t="s">
        <v>149</v>
      </c>
      <c r="B265" s="41">
        <v>6600</v>
      </c>
      <c r="C265" s="52">
        <v>551101</v>
      </c>
      <c r="D265" s="52" t="str">
        <f>LEFT(Table1[[#This Row],[Eelarvekonto]],2)</f>
        <v>55</v>
      </c>
      <c r="E265" s="41" t="str">
        <f>VLOOKUP(Table1[[#This Row],[Eelarvekonto]],Table5[[Konto]:[Konto nimetus]],2,FALSE)</f>
        <v>Elekter</v>
      </c>
      <c r="F265" s="41" t="s">
        <v>139</v>
      </c>
      <c r="G265" s="41" t="s">
        <v>24</v>
      </c>
      <c r="J265" s="41" t="s">
        <v>335</v>
      </c>
      <c r="K265" s="41" t="s">
        <v>79</v>
      </c>
      <c r="L265" s="58" t="s">
        <v>334</v>
      </c>
      <c r="M265" s="58" t="str">
        <f>LEFT(Table1[[#This Row],[Tegevusala kood]],2)</f>
        <v>06</v>
      </c>
      <c r="N265" s="41" t="str">
        <f>VLOOKUP(Table1[[#This Row],[Tegevusala kood]],Table4[[Tegevusala kood]:[Tegevusala alanimetus]],2,FALSE)</f>
        <v>Laekvere teeninduspiirkond</v>
      </c>
      <c r="O265" s="41" t="s">
        <v>1</v>
      </c>
      <c r="P265" s="41" t="s">
        <v>1</v>
      </c>
      <c r="Q265" s="41" t="str">
        <f>VLOOKUP(Table1[[#This Row],[Eelarvekonto]],Table5[[Konto]:[Kontode alanimetus]],5,FALSE)</f>
        <v>Majandamiskulud</v>
      </c>
      <c r="R265" s="42" t="str">
        <f>VLOOKUP(Table1[[#This Row],[Tegevusala kood]],Table4[[Tegevusala kood]:[Tegevusala alanimetus]],4,FALSE)</f>
        <v>Muu elamu- ja kommunaalmajanduse tegevus</v>
      </c>
      <c r="S265" s="53"/>
      <c r="T265" s="53"/>
      <c r="U265" s="53">
        <f>Table1[[#This Row],[Summa]]+Table1[[#This Row],[I Muudatus]]+Table1[[#This Row],[II Muudatus]]</f>
        <v>6600</v>
      </c>
    </row>
    <row r="266" spans="1:21" ht="14.25" hidden="1" customHeight="1" x14ac:dyDescent="0.25">
      <c r="A266" s="41" t="s">
        <v>158</v>
      </c>
      <c r="B266" s="41">
        <v>21076.33</v>
      </c>
      <c r="C266" s="52">
        <v>506</v>
      </c>
      <c r="D266" s="52" t="str">
        <f>LEFT(Table1[[#This Row],[Eelarvekonto]],2)</f>
        <v>50</v>
      </c>
      <c r="E266" s="41" t="str">
        <f>VLOOKUP(Table1[[#This Row],[Eelarvekonto]],Table5[[Konto]:[Konto nimetus]],2,FALSE)</f>
        <v>Tööjõukuludega kaasnevad maksud ja sotsiaalkindlustusmaksed</v>
      </c>
      <c r="F266" s="41" t="s">
        <v>139</v>
      </c>
      <c r="G266" s="41" t="s">
        <v>24</v>
      </c>
      <c r="J266" s="41" t="s">
        <v>335</v>
      </c>
      <c r="K266" s="41" t="s">
        <v>79</v>
      </c>
      <c r="L266" s="58" t="s">
        <v>334</v>
      </c>
      <c r="M266" s="58" t="str">
        <f>LEFT(Table1[[#This Row],[Tegevusala kood]],2)</f>
        <v>06</v>
      </c>
      <c r="N266" s="41" t="str">
        <f>VLOOKUP(Table1[[#This Row],[Tegevusala kood]],Table4[[Tegevusala kood]:[Tegevusala alanimetus]],2,FALSE)</f>
        <v>Laekvere teeninduspiirkond</v>
      </c>
      <c r="O266" s="41" t="s">
        <v>1</v>
      </c>
      <c r="P266" s="41" t="s">
        <v>1</v>
      </c>
      <c r="Q266" s="41" t="str">
        <f>VLOOKUP(Table1[[#This Row],[Eelarvekonto]],Table5[[Konto]:[Kontode alanimetus]],5,FALSE)</f>
        <v>Tööjõukulud</v>
      </c>
      <c r="R266" s="42" t="str">
        <f>VLOOKUP(Table1[[#This Row],[Tegevusala kood]],Table4[[Tegevusala kood]:[Tegevusala alanimetus]],4,FALSE)</f>
        <v>Muu elamu- ja kommunaalmajanduse tegevus</v>
      </c>
      <c r="S266" s="53"/>
      <c r="T266" s="53"/>
      <c r="U266" s="53">
        <f>Table1[[#This Row],[Summa]]+Table1[[#This Row],[I Muudatus]]+Table1[[#This Row],[II Muudatus]]</f>
        <v>21076.33</v>
      </c>
    </row>
    <row r="267" spans="1:21" ht="14.25" hidden="1" customHeight="1" x14ac:dyDescent="0.25">
      <c r="A267" s="41" t="s">
        <v>469</v>
      </c>
      <c r="B267" s="41">
        <v>7848</v>
      </c>
      <c r="C267" s="52">
        <v>5002</v>
      </c>
      <c r="D267" s="52" t="str">
        <f>LEFT(Table1[[#This Row],[Eelarvekonto]],2)</f>
        <v>50</v>
      </c>
      <c r="E267" s="41" t="str">
        <f>VLOOKUP(Table1[[#This Row],[Eelarvekonto]],Table5[[Konto]:[Konto nimetus]],2,FALSE)</f>
        <v>Töötajate töötasud</v>
      </c>
      <c r="F267" s="41" t="s">
        <v>139</v>
      </c>
      <c r="G267" s="41" t="s">
        <v>24</v>
      </c>
      <c r="J267" s="41" t="s">
        <v>335</v>
      </c>
      <c r="K267" s="41" t="s">
        <v>79</v>
      </c>
      <c r="L267" s="58" t="s">
        <v>334</v>
      </c>
      <c r="M267" s="58" t="str">
        <f>LEFT(Table1[[#This Row],[Tegevusala kood]],2)</f>
        <v>06</v>
      </c>
      <c r="N267" s="41" t="str">
        <f>VLOOKUP(Table1[[#This Row],[Tegevusala kood]],Table4[[Tegevusala kood]:[Tegevusala alanimetus]],2,FALSE)</f>
        <v>Laekvere teeninduspiirkond</v>
      </c>
      <c r="O267" s="41" t="s">
        <v>1</v>
      </c>
      <c r="P267" s="41" t="s">
        <v>1</v>
      </c>
      <c r="Q267" s="41" t="str">
        <f>VLOOKUP(Table1[[#This Row],[Eelarvekonto]],Table5[[Konto]:[Kontode alanimetus]],5,FALSE)</f>
        <v>Tööjõukulud</v>
      </c>
      <c r="R267" s="42" t="str">
        <f>VLOOKUP(Table1[[#This Row],[Tegevusala kood]],Table4[[Tegevusala kood]:[Tegevusala alanimetus]],4,FALSE)</f>
        <v>Muu elamu- ja kommunaalmajanduse tegevus</v>
      </c>
      <c r="S267" s="53"/>
      <c r="T267" s="53"/>
      <c r="U267" s="53">
        <f>Table1[[#This Row],[Summa]]+Table1[[#This Row],[I Muudatus]]+Table1[[#This Row],[II Muudatus]]</f>
        <v>7848</v>
      </c>
    </row>
    <row r="268" spans="1:21" ht="14.25" hidden="1" customHeight="1" x14ac:dyDescent="0.25">
      <c r="A268" s="41" t="s">
        <v>600</v>
      </c>
      <c r="B268" s="41">
        <v>10800</v>
      </c>
      <c r="C268" s="52">
        <v>5002</v>
      </c>
      <c r="D268" s="52" t="str">
        <f>LEFT(Table1[[#This Row],[Eelarvekonto]],2)</f>
        <v>50</v>
      </c>
      <c r="E268" s="41" t="str">
        <f>VLOOKUP(Table1[[#This Row],[Eelarvekonto]],Table5[[Konto]:[Konto nimetus]],2,FALSE)</f>
        <v>Töötajate töötasud</v>
      </c>
      <c r="F268" s="41" t="s">
        <v>139</v>
      </c>
      <c r="G268" s="41" t="s">
        <v>24</v>
      </c>
      <c r="J268" s="41" t="s">
        <v>335</v>
      </c>
      <c r="K268" s="41" t="s">
        <v>79</v>
      </c>
      <c r="L268" s="58" t="s">
        <v>334</v>
      </c>
      <c r="M268" s="58" t="str">
        <f>LEFT(Table1[[#This Row],[Tegevusala kood]],2)</f>
        <v>06</v>
      </c>
      <c r="N268" s="41" t="str">
        <f>VLOOKUP(Table1[[#This Row],[Tegevusala kood]],Table4[[Tegevusala kood]:[Tegevusala alanimetus]],2,FALSE)</f>
        <v>Laekvere teeninduspiirkond</v>
      </c>
      <c r="O268" s="41" t="s">
        <v>1</v>
      </c>
      <c r="P268" s="41" t="s">
        <v>1</v>
      </c>
      <c r="Q268" s="41" t="str">
        <f>VLOOKUP(Table1[[#This Row],[Eelarvekonto]],Table5[[Konto]:[Kontode alanimetus]],5,FALSE)</f>
        <v>Tööjõukulud</v>
      </c>
      <c r="R268" s="42" t="str">
        <f>VLOOKUP(Table1[[#This Row],[Tegevusala kood]],Table4[[Tegevusala kood]:[Tegevusala alanimetus]],4,FALSE)</f>
        <v>Muu elamu- ja kommunaalmajanduse tegevus</v>
      </c>
      <c r="S268" s="53"/>
      <c r="T268" s="53"/>
      <c r="U268" s="53">
        <f>Table1[[#This Row],[Summa]]+Table1[[#This Row],[I Muudatus]]+Table1[[#This Row],[II Muudatus]]</f>
        <v>10800</v>
      </c>
    </row>
    <row r="269" spans="1:21" ht="14.25" hidden="1" customHeight="1" x14ac:dyDescent="0.25">
      <c r="A269" s="41" t="s">
        <v>599</v>
      </c>
      <c r="B269" s="41">
        <v>10800</v>
      </c>
      <c r="C269" s="52">
        <v>5002</v>
      </c>
      <c r="D269" s="52" t="str">
        <f>LEFT(Table1[[#This Row],[Eelarvekonto]],2)</f>
        <v>50</v>
      </c>
      <c r="E269" s="41" t="str">
        <f>VLOOKUP(Table1[[#This Row],[Eelarvekonto]],Table5[[Konto]:[Konto nimetus]],2,FALSE)</f>
        <v>Töötajate töötasud</v>
      </c>
      <c r="F269" s="41" t="s">
        <v>139</v>
      </c>
      <c r="G269" s="41" t="s">
        <v>24</v>
      </c>
      <c r="J269" s="41" t="s">
        <v>335</v>
      </c>
      <c r="K269" s="41" t="s">
        <v>79</v>
      </c>
      <c r="L269" s="58" t="s">
        <v>334</v>
      </c>
      <c r="M269" s="58" t="str">
        <f>LEFT(Table1[[#This Row],[Tegevusala kood]],2)</f>
        <v>06</v>
      </c>
      <c r="N269" s="41" t="str">
        <f>VLOOKUP(Table1[[#This Row],[Tegevusala kood]],Table4[[Tegevusala kood]:[Tegevusala alanimetus]],2,FALSE)</f>
        <v>Laekvere teeninduspiirkond</v>
      </c>
      <c r="O269" s="41" t="s">
        <v>1</v>
      </c>
      <c r="P269" s="41" t="s">
        <v>1</v>
      </c>
      <c r="Q269" s="41" t="str">
        <f>VLOOKUP(Table1[[#This Row],[Eelarvekonto]],Table5[[Konto]:[Kontode alanimetus]],5,FALSE)</f>
        <v>Tööjõukulud</v>
      </c>
      <c r="R269" s="42" t="str">
        <f>VLOOKUP(Table1[[#This Row],[Tegevusala kood]],Table4[[Tegevusala kood]:[Tegevusala alanimetus]],4,FALSE)</f>
        <v>Muu elamu- ja kommunaalmajanduse tegevus</v>
      </c>
      <c r="S269" s="53"/>
      <c r="T269" s="53"/>
      <c r="U269" s="53">
        <f>Table1[[#This Row],[Summa]]+Table1[[#This Row],[I Muudatus]]+Table1[[#This Row],[II Muudatus]]</f>
        <v>10800</v>
      </c>
    </row>
    <row r="270" spans="1:21" ht="14.25" hidden="1" customHeight="1" x14ac:dyDescent="0.25">
      <c r="A270" s="41" t="s">
        <v>471</v>
      </c>
      <c r="B270" s="41">
        <v>7848</v>
      </c>
      <c r="C270" s="52">
        <v>5002</v>
      </c>
      <c r="D270" s="52" t="str">
        <f>LEFT(Table1[[#This Row],[Eelarvekonto]],2)</f>
        <v>50</v>
      </c>
      <c r="E270" s="41" t="str">
        <f>VLOOKUP(Table1[[#This Row],[Eelarvekonto]],Table5[[Konto]:[Konto nimetus]],2,FALSE)</f>
        <v>Töötajate töötasud</v>
      </c>
      <c r="F270" s="41" t="s">
        <v>139</v>
      </c>
      <c r="G270" s="41" t="s">
        <v>24</v>
      </c>
      <c r="J270" s="41" t="s">
        <v>335</v>
      </c>
      <c r="K270" s="41" t="s">
        <v>79</v>
      </c>
      <c r="L270" s="58" t="s">
        <v>334</v>
      </c>
      <c r="M270" s="58" t="str">
        <f>LEFT(Table1[[#This Row],[Tegevusala kood]],2)</f>
        <v>06</v>
      </c>
      <c r="N270" s="41" t="str">
        <f>VLOOKUP(Table1[[#This Row],[Tegevusala kood]],Table4[[Tegevusala kood]:[Tegevusala alanimetus]],2,FALSE)</f>
        <v>Laekvere teeninduspiirkond</v>
      </c>
      <c r="O270" s="41" t="s">
        <v>1</v>
      </c>
      <c r="P270" s="41" t="s">
        <v>1</v>
      </c>
      <c r="Q270" s="41" t="str">
        <f>VLOOKUP(Table1[[#This Row],[Eelarvekonto]],Table5[[Konto]:[Kontode alanimetus]],5,FALSE)</f>
        <v>Tööjõukulud</v>
      </c>
      <c r="R270" s="42" t="str">
        <f>VLOOKUP(Table1[[#This Row],[Tegevusala kood]],Table4[[Tegevusala kood]:[Tegevusala alanimetus]],4,FALSE)</f>
        <v>Muu elamu- ja kommunaalmajanduse tegevus</v>
      </c>
      <c r="S270" s="53"/>
      <c r="T270" s="53"/>
      <c r="U270" s="53">
        <f>Table1[[#This Row],[Summa]]+Table1[[#This Row],[I Muudatus]]+Table1[[#This Row],[II Muudatus]]</f>
        <v>7848</v>
      </c>
    </row>
    <row r="271" spans="1:21" ht="14.25" hidden="1" customHeight="1" x14ac:dyDescent="0.25">
      <c r="A271" s="41" t="s">
        <v>1051</v>
      </c>
      <c r="B271" s="41">
        <v>8040</v>
      </c>
      <c r="C271" s="52">
        <v>551100</v>
      </c>
      <c r="D271" s="52" t="str">
        <f>LEFT(Table1[[#This Row],[Eelarvekonto]],2)</f>
        <v>55</v>
      </c>
      <c r="E271" s="41" t="str">
        <f>VLOOKUP(Table1[[#This Row],[Eelarvekonto]],Table5[[Konto]:[Konto nimetus]],2,FALSE)</f>
        <v>Küte ja soojusenergia</v>
      </c>
      <c r="F271" s="41" t="s">
        <v>139</v>
      </c>
      <c r="G271" s="41" t="s">
        <v>24</v>
      </c>
      <c r="J271" s="41" t="s">
        <v>335</v>
      </c>
      <c r="K271" s="41" t="s">
        <v>79</v>
      </c>
      <c r="L271" s="58" t="s">
        <v>334</v>
      </c>
      <c r="M271" s="58" t="str">
        <f>LEFT(Table1[[#This Row],[Tegevusala kood]],2)</f>
        <v>06</v>
      </c>
      <c r="N271" s="41" t="str">
        <f>VLOOKUP(Table1[[#This Row],[Tegevusala kood]],Table4[[Tegevusala kood]:[Tegevusala alanimetus]],2,FALSE)</f>
        <v>Laekvere teeninduspiirkond</v>
      </c>
      <c r="O271" s="41" t="s">
        <v>1</v>
      </c>
      <c r="P271" s="41" t="s">
        <v>1</v>
      </c>
      <c r="Q271" s="41" t="str">
        <f>VLOOKUP(Table1[[#This Row],[Eelarvekonto]],Table5[[Konto]:[Kontode alanimetus]],5,FALSE)</f>
        <v>Majandamiskulud</v>
      </c>
      <c r="R271" s="42" t="str">
        <f>VLOOKUP(Table1[[#This Row],[Tegevusala kood]],Table4[[Tegevusala kood]:[Tegevusala alanimetus]],4,FALSE)</f>
        <v>Muu elamu- ja kommunaalmajanduse tegevus</v>
      </c>
      <c r="S271" s="53"/>
      <c r="T271" s="53"/>
      <c r="U271" s="53">
        <f>Table1[[#This Row],[Summa]]+Table1[[#This Row],[I Muudatus]]+Table1[[#This Row],[II Muudatus]]</f>
        <v>8040</v>
      </c>
    </row>
    <row r="272" spans="1:21" ht="14.25" hidden="1" customHeight="1" x14ac:dyDescent="0.25">
      <c r="A272" s="41" t="s">
        <v>565</v>
      </c>
      <c r="B272" s="41">
        <v>19560</v>
      </c>
      <c r="C272" s="52">
        <v>5002</v>
      </c>
      <c r="D272" s="52" t="str">
        <f>LEFT(Table1[[#This Row],[Eelarvekonto]],2)</f>
        <v>50</v>
      </c>
      <c r="E272" s="41" t="str">
        <f>VLOOKUP(Table1[[#This Row],[Eelarvekonto]],Table5[[Konto]:[Konto nimetus]],2,FALSE)</f>
        <v>Töötajate töötasud</v>
      </c>
      <c r="F272" s="41" t="s">
        <v>139</v>
      </c>
      <c r="G272" s="41" t="s">
        <v>24</v>
      </c>
      <c r="J272" s="41" t="s">
        <v>335</v>
      </c>
      <c r="K272" s="41" t="s">
        <v>79</v>
      </c>
      <c r="L272" s="58" t="s">
        <v>334</v>
      </c>
      <c r="M272" s="58" t="str">
        <f>LEFT(Table1[[#This Row],[Tegevusala kood]],2)</f>
        <v>06</v>
      </c>
      <c r="N272" s="41" t="str">
        <f>VLOOKUP(Table1[[#This Row],[Tegevusala kood]],Table4[[Tegevusala kood]:[Tegevusala alanimetus]],2,FALSE)</f>
        <v>Laekvere teeninduspiirkond</v>
      </c>
      <c r="O272" s="41" t="s">
        <v>1</v>
      </c>
      <c r="P272" s="41" t="s">
        <v>1</v>
      </c>
      <c r="Q272" s="41" t="str">
        <f>VLOOKUP(Table1[[#This Row],[Eelarvekonto]],Table5[[Konto]:[Kontode alanimetus]],5,FALSE)</f>
        <v>Tööjõukulud</v>
      </c>
      <c r="R272" s="42" t="str">
        <f>VLOOKUP(Table1[[#This Row],[Tegevusala kood]],Table4[[Tegevusala kood]:[Tegevusala alanimetus]],4,FALSE)</f>
        <v>Muu elamu- ja kommunaalmajanduse tegevus</v>
      </c>
      <c r="S272" s="53"/>
      <c r="T272" s="53"/>
      <c r="U272" s="53">
        <f>Table1[[#This Row],[Summa]]+Table1[[#This Row],[I Muudatus]]+Table1[[#This Row],[II Muudatus]]</f>
        <v>19560</v>
      </c>
    </row>
    <row r="273" spans="1:21" ht="14.25" hidden="1" customHeight="1" x14ac:dyDescent="0.25">
      <c r="A273" s="41" t="s">
        <v>1052</v>
      </c>
      <c r="B273" s="41">
        <v>10000</v>
      </c>
      <c r="C273" s="52">
        <v>4500</v>
      </c>
      <c r="D273" s="52" t="str">
        <f>LEFT(Table1[[#This Row],[Eelarvekonto]],2)</f>
        <v>45</v>
      </c>
      <c r="E273" s="41" t="str">
        <f>VLOOKUP(Table1[[#This Row],[Eelarvekonto]],Table5[[Konto]:[Konto nimetus]],2,FALSE)</f>
        <v>Antud sihtfinantseerimine tegevuskuludeks</v>
      </c>
      <c r="F273" s="41" t="s">
        <v>139</v>
      </c>
      <c r="G273" s="41" t="s">
        <v>24</v>
      </c>
      <c r="J273" s="41" t="s">
        <v>365</v>
      </c>
      <c r="K273" s="41" t="s">
        <v>364</v>
      </c>
      <c r="L273" s="58" t="s">
        <v>363</v>
      </c>
      <c r="M273" s="58" t="str">
        <f>LEFT(Table1[[#This Row],[Tegevusala kood]],2)</f>
        <v>10</v>
      </c>
      <c r="N273" s="41" t="str">
        <f>VLOOKUP(Table1[[#This Row],[Tegevusala kood]],Table4[[Tegevusala kood]:[Tegevusala alanimetus]],2,FALSE)</f>
        <v>Muu sotsiaalne kaitse, sh sotsiaalse kaitse haldus</v>
      </c>
      <c r="O273" s="41" t="s">
        <v>1</v>
      </c>
      <c r="P273" s="41" t="s">
        <v>1</v>
      </c>
      <c r="Q273" s="41" t="str">
        <f>VLOOKUP(Table1[[#This Row],[Eelarvekonto]],Table5[[Konto]:[Kontode alanimetus]],5,FALSE)</f>
        <v>Sihtotstarbelised toetused tegevuskuludeks</v>
      </c>
      <c r="R273" s="42" t="str">
        <f>VLOOKUP(Table1[[#This Row],[Tegevusala kood]],Table4[[Tegevusala kood]:[Tegevusala alanimetus]],4,FALSE)</f>
        <v>Muu sotsiaalne kaitse, sh sotsiaalse kaitse haldus</v>
      </c>
      <c r="S273" s="53"/>
      <c r="T273" s="53"/>
      <c r="U273" s="53">
        <f>Table1[[#This Row],[Summa]]+Table1[[#This Row],[I Muudatus]]+Table1[[#This Row],[II Muudatus]]</f>
        <v>10000</v>
      </c>
    </row>
    <row r="274" spans="1:21" ht="14.25" hidden="1" customHeight="1" x14ac:dyDescent="0.25">
      <c r="A274" s="41" t="s">
        <v>570</v>
      </c>
      <c r="B274" s="41">
        <v>984</v>
      </c>
      <c r="C274" s="52">
        <v>5500</v>
      </c>
      <c r="D274" s="52" t="str">
        <f>LEFT(Table1[[#This Row],[Eelarvekonto]],2)</f>
        <v>55</v>
      </c>
      <c r="E274" s="41" t="str">
        <f>VLOOKUP(Table1[[#This Row],[Eelarvekonto]],Table5[[Konto]:[Konto nimetus]],2,FALSE)</f>
        <v>Administreerimiskulud</v>
      </c>
      <c r="F274" s="41" t="s">
        <v>139</v>
      </c>
      <c r="G274" s="41" t="s">
        <v>24</v>
      </c>
      <c r="J274" s="41" t="s">
        <v>365</v>
      </c>
      <c r="K274" s="41" t="s">
        <v>364</v>
      </c>
      <c r="L274" s="58" t="s">
        <v>363</v>
      </c>
      <c r="M274" s="58" t="str">
        <f>LEFT(Table1[[#This Row],[Tegevusala kood]],2)</f>
        <v>10</v>
      </c>
      <c r="N274" s="41" t="str">
        <f>VLOOKUP(Table1[[#This Row],[Tegevusala kood]],Table4[[Tegevusala kood]:[Tegevusala alanimetus]],2,FALSE)</f>
        <v>Muu sotsiaalne kaitse, sh sotsiaalse kaitse haldus</v>
      </c>
      <c r="O274" s="41" t="s">
        <v>1</v>
      </c>
      <c r="P274" s="41" t="s">
        <v>1</v>
      </c>
      <c r="Q274" s="41" t="str">
        <f>VLOOKUP(Table1[[#This Row],[Eelarvekonto]],Table5[[Konto]:[Kontode alanimetus]],5,FALSE)</f>
        <v>Majandamiskulud</v>
      </c>
      <c r="R274" s="42" t="str">
        <f>VLOOKUP(Table1[[#This Row],[Tegevusala kood]],Table4[[Tegevusala kood]:[Tegevusala alanimetus]],4,FALSE)</f>
        <v>Muu sotsiaalne kaitse, sh sotsiaalse kaitse haldus</v>
      </c>
      <c r="S274" s="53"/>
      <c r="T274" s="53"/>
      <c r="U274" s="53">
        <f>Table1[[#This Row],[Summa]]+Table1[[#This Row],[I Muudatus]]+Table1[[#This Row],[II Muudatus]]</f>
        <v>984</v>
      </c>
    </row>
    <row r="275" spans="1:21" ht="14.25" hidden="1" customHeight="1" x14ac:dyDescent="0.25">
      <c r="A275" s="41" t="s">
        <v>140</v>
      </c>
      <c r="B275" s="41">
        <v>1600</v>
      </c>
      <c r="C275" s="52">
        <v>5504</v>
      </c>
      <c r="D275" s="52" t="str">
        <f>LEFT(Table1[[#This Row],[Eelarvekonto]],2)</f>
        <v>55</v>
      </c>
      <c r="E275" s="41" t="str">
        <f>VLOOKUP(Table1[[#This Row],[Eelarvekonto]],Table5[[Konto]:[Konto nimetus]],2,FALSE)</f>
        <v>Koolituskulud (sh koolituslähetus)</v>
      </c>
      <c r="F275" s="41" t="s">
        <v>139</v>
      </c>
      <c r="G275" s="41" t="s">
        <v>24</v>
      </c>
      <c r="J275" s="41" t="s">
        <v>365</v>
      </c>
      <c r="K275" s="41" t="s">
        <v>364</v>
      </c>
      <c r="L275" s="58" t="s">
        <v>363</v>
      </c>
      <c r="M275" s="58" t="str">
        <f>LEFT(Table1[[#This Row],[Tegevusala kood]],2)</f>
        <v>10</v>
      </c>
      <c r="N275" s="41" t="str">
        <f>VLOOKUP(Table1[[#This Row],[Tegevusala kood]],Table4[[Tegevusala kood]:[Tegevusala alanimetus]],2,FALSE)</f>
        <v>Muu sotsiaalne kaitse, sh sotsiaalse kaitse haldus</v>
      </c>
      <c r="O275" s="41" t="s">
        <v>1</v>
      </c>
      <c r="P275" s="41" t="s">
        <v>1</v>
      </c>
      <c r="Q275" s="41" t="str">
        <f>VLOOKUP(Table1[[#This Row],[Eelarvekonto]],Table5[[Konto]:[Kontode alanimetus]],5,FALSE)</f>
        <v>Majandamiskulud</v>
      </c>
      <c r="R275" s="42" t="str">
        <f>VLOOKUP(Table1[[#This Row],[Tegevusala kood]],Table4[[Tegevusala kood]:[Tegevusala alanimetus]],4,FALSE)</f>
        <v>Muu sotsiaalne kaitse, sh sotsiaalse kaitse haldus</v>
      </c>
      <c r="S275" s="53"/>
      <c r="T275" s="53"/>
      <c r="U275" s="53">
        <f>Table1[[#This Row],[Summa]]+Table1[[#This Row],[I Muudatus]]+Table1[[#This Row],[II Muudatus]]</f>
        <v>1600</v>
      </c>
    </row>
    <row r="276" spans="1:21" ht="14.25" hidden="1" customHeight="1" x14ac:dyDescent="0.25">
      <c r="A276" s="41" t="s">
        <v>454</v>
      </c>
      <c r="B276" s="41">
        <v>240</v>
      </c>
      <c r="C276" s="52">
        <v>601</v>
      </c>
      <c r="D276" s="52" t="str">
        <f>LEFT(Table1[[#This Row],[Eelarvekonto]],2)</f>
        <v>60</v>
      </c>
      <c r="E276" s="41" t="str">
        <f>VLOOKUP(Table1[[#This Row],[Eelarvekonto]],Table5[[Konto]:[Konto nimetus]],2,FALSE)</f>
        <v>MAKSU-, LÕIVU-, TRAHVIKULUD</v>
      </c>
      <c r="F276" s="41" t="s">
        <v>139</v>
      </c>
      <c r="G276" s="41" t="s">
        <v>24</v>
      </c>
      <c r="J276" s="41" t="s">
        <v>365</v>
      </c>
      <c r="K276" s="41" t="s">
        <v>364</v>
      </c>
      <c r="L276" s="58" t="s">
        <v>363</v>
      </c>
      <c r="M276" s="58" t="str">
        <f>LEFT(Table1[[#This Row],[Tegevusala kood]],2)</f>
        <v>10</v>
      </c>
      <c r="N276" s="41" t="str">
        <f>VLOOKUP(Table1[[#This Row],[Tegevusala kood]],Table4[[Tegevusala kood]:[Tegevusala alanimetus]],2,FALSE)</f>
        <v>Muu sotsiaalne kaitse, sh sotsiaalse kaitse haldus</v>
      </c>
      <c r="O276" s="41" t="s">
        <v>1</v>
      </c>
      <c r="P276" s="41" t="s">
        <v>1</v>
      </c>
      <c r="Q276" s="41" t="str">
        <f>VLOOKUP(Table1[[#This Row],[Eelarvekonto]],Table5[[Konto]:[Kontode alanimetus]],5,FALSE)</f>
        <v>Muud kulud</v>
      </c>
      <c r="R276" s="42" t="str">
        <f>VLOOKUP(Table1[[#This Row],[Tegevusala kood]],Table4[[Tegevusala kood]:[Tegevusala alanimetus]],4,FALSE)</f>
        <v>Muu sotsiaalne kaitse, sh sotsiaalse kaitse haldus</v>
      </c>
      <c r="S276" s="53"/>
      <c r="T276" s="53"/>
      <c r="U276" s="53">
        <f>Table1[[#This Row],[Summa]]+Table1[[#This Row],[I Muudatus]]+Table1[[#This Row],[II Muudatus]]</f>
        <v>240</v>
      </c>
    </row>
    <row r="277" spans="1:21" ht="14.25" hidden="1" customHeight="1" x14ac:dyDescent="0.25">
      <c r="A277" s="41" t="s">
        <v>622</v>
      </c>
      <c r="B277" s="41">
        <v>3000</v>
      </c>
      <c r="C277" s="52">
        <v>5513081</v>
      </c>
      <c r="D277" s="52" t="str">
        <f>LEFT(Table1[[#This Row],[Eelarvekonto]],2)</f>
        <v>55</v>
      </c>
      <c r="E277" s="41" t="str">
        <f>VLOOKUP(Table1[[#This Row],[Eelarvekonto]],Table5[[Konto]:[Konto nimetus]],2,FALSE)</f>
        <v>Isikliku sõiduauto kompensatsioon</v>
      </c>
      <c r="F277" s="41" t="s">
        <v>139</v>
      </c>
      <c r="G277" s="41" t="s">
        <v>24</v>
      </c>
      <c r="J277" s="41" t="s">
        <v>365</v>
      </c>
      <c r="K277" s="41" t="s">
        <v>364</v>
      </c>
      <c r="L277" s="58" t="s">
        <v>363</v>
      </c>
      <c r="M277" s="58" t="str">
        <f>LEFT(Table1[[#This Row],[Tegevusala kood]],2)</f>
        <v>10</v>
      </c>
      <c r="N277" s="41" t="str">
        <f>VLOOKUP(Table1[[#This Row],[Tegevusala kood]],Table4[[Tegevusala kood]:[Tegevusala alanimetus]],2,FALSE)</f>
        <v>Muu sotsiaalne kaitse, sh sotsiaalse kaitse haldus</v>
      </c>
      <c r="O277" s="41" t="s">
        <v>1</v>
      </c>
      <c r="P277" s="41" t="s">
        <v>1</v>
      </c>
      <c r="Q277" s="41" t="str">
        <f>VLOOKUP(Table1[[#This Row],[Eelarvekonto]],Table5[[Konto]:[Kontode alanimetus]],5,FALSE)</f>
        <v>Majandamiskulud</v>
      </c>
      <c r="R277" s="42" t="str">
        <f>VLOOKUP(Table1[[#This Row],[Tegevusala kood]],Table4[[Tegevusala kood]:[Tegevusala alanimetus]],4,FALSE)</f>
        <v>Muu sotsiaalne kaitse, sh sotsiaalse kaitse haldus</v>
      </c>
      <c r="S277" s="53"/>
      <c r="T277" s="53"/>
      <c r="U277" s="53">
        <f>Table1[[#This Row],[Summa]]+Table1[[#This Row],[I Muudatus]]+Table1[[#This Row],[II Muudatus]]</f>
        <v>3000</v>
      </c>
    </row>
    <row r="278" spans="1:21" ht="14.25" hidden="1" customHeight="1" x14ac:dyDescent="0.25">
      <c r="A278" s="41" t="s">
        <v>158</v>
      </c>
      <c r="B278" s="41">
        <v>32454.76</v>
      </c>
      <c r="C278" s="52">
        <v>506</v>
      </c>
      <c r="D278" s="52" t="str">
        <f>LEFT(Table1[[#This Row],[Eelarvekonto]],2)</f>
        <v>50</v>
      </c>
      <c r="E278" s="41" t="str">
        <f>VLOOKUP(Table1[[#This Row],[Eelarvekonto]],Table5[[Konto]:[Konto nimetus]],2,FALSE)</f>
        <v>Tööjõukuludega kaasnevad maksud ja sotsiaalkindlustusmaksed</v>
      </c>
      <c r="F278" s="41" t="s">
        <v>139</v>
      </c>
      <c r="G278" s="41" t="s">
        <v>24</v>
      </c>
      <c r="J278" s="41" t="s">
        <v>365</v>
      </c>
      <c r="K278" s="41" t="s">
        <v>364</v>
      </c>
      <c r="L278" s="58" t="s">
        <v>363</v>
      </c>
      <c r="M278" s="58" t="str">
        <f>LEFT(Table1[[#This Row],[Tegevusala kood]],2)</f>
        <v>10</v>
      </c>
      <c r="N278" s="41" t="str">
        <f>VLOOKUP(Table1[[#This Row],[Tegevusala kood]],Table4[[Tegevusala kood]:[Tegevusala alanimetus]],2,FALSE)</f>
        <v>Muu sotsiaalne kaitse, sh sotsiaalse kaitse haldus</v>
      </c>
      <c r="O278" s="41" t="s">
        <v>1</v>
      </c>
      <c r="P278" s="41" t="s">
        <v>1</v>
      </c>
      <c r="Q278" s="41" t="str">
        <f>VLOOKUP(Table1[[#This Row],[Eelarvekonto]],Table5[[Konto]:[Kontode alanimetus]],5,FALSE)</f>
        <v>Tööjõukulud</v>
      </c>
      <c r="R278" s="42" t="str">
        <f>VLOOKUP(Table1[[#This Row],[Tegevusala kood]],Table4[[Tegevusala kood]:[Tegevusala alanimetus]],4,FALSE)</f>
        <v>Muu sotsiaalne kaitse, sh sotsiaalse kaitse haldus</v>
      </c>
      <c r="S278" s="53"/>
      <c r="T278" s="53"/>
      <c r="U278" s="53">
        <f>Table1[[#This Row],[Summa]]+Table1[[#This Row],[I Muudatus]]+Table1[[#This Row],[II Muudatus]]</f>
        <v>32454.76</v>
      </c>
    </row>
    <row r="279" spans="1:21" ht="14.25" hidden="1" customHeight="1" x14ac:dyDescent="0.25">
      <c r="A279" s="41" t="s">
        <v>621</v>
      </c>
      <c r="B279" s="41">
        <v>26400</v>
      </c>
      <c r="C279" s="52">
        <v>5001</v>
      </c>
      <c r="D279" s="52" t="str">
        <f>LEFT(Table1[[#This Row],[Eelarvekonto]],2)</f>
        <v>50</v>
      </c>
      <c r="E279" s="41" t="str">
        <f>VLOOKUP(Table1[[#This Row],[Eelarvekonto]],Table5[[Konto]:[Konto nimetus]],2,FALSE)</f>
        <v xml:space="preserve"> Avaliku teenistuse ametnike töötasu</v>
      </c>
      <c r="F279" s="41" t="s">
        <v>139</v>
      </c>
      <c r="G279" s="41" t="s">
        <v>24</v>
      </c>
      <c r="J279" s="41" t="s">
        <v>365</v>
      </c>
      <c r="K279" s="41" t="s">
        <v>364</v>
      </c>
      <c r="L279" s="58" t="s">
        <v>363</v>
      </c>
      <c r="M279" s="58" t="str">
        <f>LEFT(Table1[[#This Row],[Tegevusala kood]],2)</f>
        <v>10</v>
      </c>
      <c r="N279" s="41" t="str">
        <f>VLOOKUP(Table1[[#This Row],[Tegevusala kood]],Table4[[Tegevusala kood]:[Tegevusala alanimetus]],2,FALSE)</f>
        <v>Muu sotsiaalne kaitse, sh sotsiaalse kaitse haldus</v>
      </c>
      <c r="O279" s="41" t="s">
        <v>1</v>
      </c>
      <c r="P279" s="41" t="s">
        <v>1</v>
      </c>
      <c r="Q279" s="41" t="str">
        <f>VLOOKUP(Table1[[#This Row],[Eelarvekonto]],Table5[[Konto]:[Kontode alanimetus]],5,FALSE)</f>
        <v>Tööjõukulud</v>
      </c>
      <c r="R279" s="42" t="str">
        <f>VLOOKUP(Table1[[#This Row],[Tegevusala kood]],Table4[[Tegevusala kood]:[Tegevusala alanimetus]],4,FALSE)</f>
        <v>Muu sotsiaalne kaitse, sh sotsiaalse kaitse haldus</v>
      </c>
      <c r="S279" s="53"/>
      <c r="T279" s="53"/>
      <c r="U279" s="53">
        <f>Table1[[#This Row],[Summa]]+Table1[[#This Row],[I Muudatus]]+Table1[[#This Row],[II Muudatus]]</f>
        <v>26400</v>
      </c>
    </row>
    <row r="280" spans="1:21" ht="14.25" hidden="1" customHeight="1" x14ac:dyDescent="0.25">
      <c r="A280" s="41" t="s">
        <v>619</v>
      </c>
      <c r="B280" s="41">
        <v>15720</v>
      </c>
      <c r="C280" s="52">
        <v>5001</v>
      </c>
      <c r="D280" s="52" t="str">
        <f>LEFT(Table1[[#This Row],[Eelarvekonto]],2)</f>
        <v>50</v>
      </c>
      <c r="E280" s="41" t="str">
        <f>VLOOKUP(Table1[[#This Row],[Eelarvekonto]],Table5[[Konto]:[Konto nimetus]],2,FALSE)</f>
        <v xml:space="preserve"> Avaliku teenistuse ametnike töötasu</v>
      </c>
      <c r="F280" s="41" t="s">
        <v>139</v>
      </c>
      <c r="G280" s="41" t="s">
        <v>24</v>
      </c>
      <c r="J280" s="41" t="s">
        <v>365</v>
      </c>
      <c r="K280" s="41" t="s">
        <v>364</v>
      </c>
      <c r="L280" s="58" t="s">
        <v>363</v>
      </c>
      <c r="M280" s="58" t="str">
        <f>LEFT(Table1[[#This Row],[Tegevusala kood]],2)</f>
        <v>10</v>
      </c>
      <c r="N280" s="41" t="str">
        <f>VLOOKUP(Table1[[#This Row],[Tegevusala kood]],Table4[[Tegevusala kood]:[Tegevusala alanimetus]],2,FALSE)</f>
        <v>Muu sotsiaalne kaitse, sh sotsiaalse kaitse haldus</v>
      </c>
      <c r="O280" s="41" t="s">
        <v>1</v>
      </c>
      <c r="P280" s="41" t="s">
        <v>1</v>
      </c>
      <c r="Q280" s="41" t="str">
        <f>VLOOKUP(Table1[[#This Row],[Eelarvekonto]],Table5[[Konto]:[Kontode alanimetus]],5,FALSE)</f>
        <v>Tööjõukulud</v>
      </c>
      <c r="R280" s="42" t="str">
        <f>VLOOKUP(Table1[[#This Row],[Tegevusala kood]],Table4[[Tegevusala kood]:[Tegevusala alanimetus]],4,FALSE)</f>
        <v>Muu sotsiaalne kaitse, sh sotsiaalse kaitse haldus</v>
      </c>
      <c r="S280" s="53"/>
      <c r="T280" s="53"/>
      <c r="U280" s="53">
        <f>Table1[[#This Row],[Summa]]+Table1[[#This Row],[I Muudatus]]+Table1[[#This Row],[II Muudatus]]</f>
        <v>15720</v>
      </c>
    </row>
    <row r="281" spans="1:21" ht="14.25" hidden="1" customHeight="1" x14ac:dyDescent="0.25">
      <c r="A281" s="41" t="s">
        <v>188</v>
      </c>
      <c r="B281" s="41">
        <v>1600</v>
      </c>
      <c r="C281" s="52">
        <v>5540</v>
      </c>
      <c r="D281" s="52" t="str">
        <f>LEFT(Table1[[#This Row],[Eelarvekonto]],2)</f>
        <v>55</v>
      </c>
      <c r="E281" s="41" t="str">
        <f>VLOOKUP(Table1[[#This Row],[Eelarvekonto]],Table5[[Konto]:[Konto nimetus]],2,FALSE)</f>
        <v>Mitmesugused majanduskulud</v>
      </c>
      <c r="F281" s="41" t="s">
        <v>139</v>
      </c>
      <c r="G281" s="41" t="s">
        <v>24</v>
      </c>
      <c r="J281" s="41" t="s">
        <v>365</v>
      </c>
      <c r="K281" s="41" t="s">
        <v>364</v>
      </c>
      <c r="L281" s="58" t="s">
        <v>363</v>
      </c>
      <c r="M281" s="58" t="str">
        <f>LEFT(Table1[[#This Row],[Tegevusala kood]],2)</f>
        <v>10</v>
      </c>
      <c r="N281" s="41" t="str">
        <f>VLOOKUP(Table1[[#This Row],[Tegevusala kood]],Table4[[Tegevusala kood]:[Tegevusala alanimetus]],2,FALSE)</f>
        <v>Muu sotsiaalne kaitse, sh sotsiaalse kaitse haldus</v>
      </c>
      <c r="O281" s="41" t="s">
        <v>1</v>
      </c>
      <c r="P281" s="41" t="s">
        <v>1</v>
      </c>
      <c r="Q281" s="41" t="str">
        <f>VLOOKUP(Table1[[#This Row],[Eelarvekonto]],Table5[[Konto]:[Kontode alanimetus]],5,FALSE)</f>
        <v>Majandamiskulud</v>
      </c>
      <c r="R281" s="42" t="str">
        <f>VLOOKUP(Table1[[#This Row],[Tegevusala kood]],Table4[[Tegevusala kood]:[Tegevusala alanimetus]],4,FALSE)</f>
        <v>Muu sotsiaalne kaitse, sh sotsiaalse kaitse haldus</v>
      </c>
      <c r="S281" s="53"/>
      <c r="T281" s="53"/>
      <c r="U281" s="53">
        <f>Table1[[#This Row],[Summa]]+Table1[[#This Row],[I Muudatus]]+Table1[[#This Row],[II Muudatus]]</f>
        <v>1600</v>
      </c>
    </row>
    <row r="282" spans="1:21" ht="14.25" hidden="1" customHeight="1" x14ac:dyDescent="0.25">
      <c r="A282" s="41" t="s">
        <v>254</v>
      </c>
      <c r="B282" s="41">
        <v>1700</v>
      </c>
      <c r="C282" s="52">
        <v>551307</v>
      </c>
      <c r="D282" s="52" t="str">
        <f>LEFT(Table1[[#This Row],[Eelarvekonto]],2)</f>
        <v>55</v>
      </c>
      <c r="E282" s="41" t="str">
        <f>VLOOKUP(Table1[[#This Row],[Eelarvekonto]],Table5[[Konto]:[Konto nimetus]],2,FALSE)</f>
        <v>Kindlustus</v>
      </c>
      <c r="F282" s="41" t="s">
        <v>139</v>
      </c>
      <c r="G282" s="41" t="s">
        <v>24</v>
      </c>
      <c r="J282" s="41" t="s">
        <v>365</v>
      </c>
      <c r="K282" s="41" t="s">
        <v>364</v>
      </c>
      <c r="L282" s="58" t="s">
        <v>363</v>
      </c>
      <c r="M282" s="58" t="str">
        <f>LEFT(Table1[[#This Row],[Tegevusala kood]],2)</f>
        <v>10</v>
      </c>
      <c r="N282" s="41" t="str">
        <f>VLOOKUP(Table1[[#This Row],[Tegevusala kood]],Table4[[Tegevusala kood]:[Tegevusala alanimetus]],2,FALSE)</f>
        <v>Muu sotsiaalne kaitse, sh sotsiaalse kaitse haldus</v>
      </c>
      <c r="O282" s="41" t="s">
        <v>1</v>
      </c>
      <c r="P282" s="41" t="s">
        <v>1</v>
      </c>
      <c r="Q282" s="41" t="str">
        <f>VLOOKUP(Table1[[#This Row],[Eelarvekonto]],Table5[[Konto]:[Kontode alanimetus]],5,FALSE)</f>
        <v>Majandamiskulud</v>
      </c>
      <c r="R282" s="42" t="str">
        <f>VLOOKUP(Table1[[#This Row],[Tegevusala kood]],Table4[[Tegevusala kood]:[Tegevusala alanimetus]],4,FALSE)</f>
        <v>Muu sotsiaalne kaitse, sh sotsiaalse kaitse haldus</v>
      </c>
      <c r="S282" s="53"/>
      <c r="T282" s="53"/>
      <c r="U282" s="53">
        <f>Table1[[#This Row],[Summa]]+Table1[[#This Row],[I Muudatus]]+Table1[[#This Row],[II Muudatus]]</f>
        <v>1700</v>
      </c>
    </row>
    <row r="283" spans="1:21" ht="14.25" hidden="1" customHeight="1" x14ac:dyDescent="0.25">
      <c r="A283" s="41" t="s">
        <v>1053</v>
      </c>
      <c r="B283" s="41">
        <v>6480</v>
      </c>
      <c r="C283" s="52">
        <v>551300</v>
      </c>
      <c r="D283" s="52" t="str">
        <f>LEFT(Table1[[#This Row],[Eelarvekonto]],2)</f>
        <v>55</v>
      </c>
      <c r="E283" s="41" t="str">
        <f>VLOOKUP(Table1[[#This Row],[Eelarvekonto]],Table5[[Konto]:[Konto nimetus]],2,FALSE)</f>
        <v>Kütus</v>
      </c>
      <c r="F283" s="41" t="s">
        <v>139</v>
      </c>
      <c r="G283" s="41" t="s">
        <v>24</v>
      </c>
      <c r="J283" s="41" t="s">
        <v>365</v>
      </c>
      <c r="K283" s="41" t="s">
        <v>364</v>
      </c>
      <c r="L283" s="58" t="s">
        <v>363</v>
      </c>
      <c r="M283" s="58" t="str">
        <f>LEFT(Table1[[#This Row],[Tegevusala kood]],2)</f>
        <v>10</v>
      </c>
      <c r="N283" s="41" t="str">
        <f>VLOOKUP(Table1[[#This Row],[Tegevusala kood]],Table4[[Tegevusala kood]:[Tegevusala alanimetus]],2,FALSE)</f>
        <v>Muu sotsiaalne kaitse, sh sotsiaalse kaitse haldus</v>
      </c>
      <c r="O283" s="41" t="s">
        <v>1</v>
      </c>
      <c r="P283" s="41" t="s">
        <v>1</v>
      </c>
      <c r="Q283" s="41" t="str">
        <f>VLOOKUP(Table1[[#This Row],[Eelarvekonto]],Table5[[Konto]:[Kontode alanimetus]],5,FALSE)</f>
        <v>Majandamiskulud</v>
      </c>
      <c r="R283" s="42" t="str">
        <f>VLOOKUP(Table1[[#This Row],[Tegevusala kood]],Table4[[Tegevusala kood]:[Tegevusala alanimetus]],4,FALSE)</f>
        <v>Muu sotsiaalne kaitse, sh sotsiaalse kaitse haldus</v>
      </c>
      <c r="S283" s="53"/>
      <c r="T283" s="53"/>
      <c r="U283" s="53">
        <f>Table1[[#This Row],[Summa]]+Table1[[#This Row],[I Muudatus]]+Table1[[#This Row],[II Muudatus]]</f>
        <v>6480</v>
      </c>
    </row>
    <row r="284" spans="1:21" ht="14.25" hidden="1" customHeight="1" x14ac:dyDescent="0.25">
      <c r="A284" s="41" t="s">
        <v>1054</v>
      </c>
      <c r="B284" s="41">
        <v>500</v>
      </c>
      <c r="C284" s="52">
        <v>5005</v>
      </c>
      <c r="D284" s="52" t="str">
        <f>LEFT(Table1[[#This Row],[Eelarvekonto]],2)</f>
        <v>50</v>
      </c>
      <c r="E284" s="41" t="str">
        <f>VLOOKUP(Table1[[#This Row],[Eelarvekonto]],Table5[[Konto]:[Konto nimetus]],2,FALSE)</f>
        <v>Töötasud võlaõiguslike lepingute alusel</v>
      </c>
      <c r="F284" s="41" t="s">
        <v>139</v>
      </c>
      <c r="G284" s="41" t="s">
        <v>24</v>
      </c>
      <c r="J284" s="41" t="s">
        <v>365</v>
      </c>
      <c r="K284" s="41" t="s">
        <v>364</v>
      </c>
      <c r="L284" s="58" t="s">
        <v>363</v>
      </c>
      <c r="M284" s="58" t="str">
        <f>LEFT(Table1[[#This Row],[Tegevusala kood]],2)</f>
        <v>10</v>
      </c>
      <c r="N284" s="41" t="str">
        <f>VLOOKUP(Table1[[#This Row],[Tegevusala kood]],Table4[[Tegevusala kood]:[Tegevusala alanimetus]],2,FALSE)</f>
        <v>Muu sotsiaalne kaitse, sh sotsiaalse kaitse haldus</v>
      </c>
      <c r="O284" s="41" t="s">
        <v>1</v>
      </c>
      <c r="P284" s="41" t="s">
        <v>1</v>
      </c>
      <c r="Q284" s="41" t="str">
        <f>VLOOKUP(Table1[[#This Row],[Eelarvekonto]],Table5[[Konto]:[Kontode alanimetus]],5,FALSE)</f>
        <v>Tööjõukulud</v>
      </c>
      <c r="R284" s="42" t="str">
        <f>VLOOKUP(Table1[[#This Row],[Tegevusala kood]],Table4[[Tegevusala kood]:[Tegevusala alanimetus]],4,FALSE)</f>
        <v>Muu sotsiaalne kaitse, sh sotsiaalse kaitse haldus</v>
      </c>
      <c r="S284" s="53"/>
      <c r="T284" s="53"/>
      <c r="U284" s="53">
        <f>Table1[[#This Row],[Summa]]+Table1[[#This Row],[I Muudatus]]+Table1[[#This Row],[II Muudatus]]</f>
        <v>500</v>
      </c>
    </row>
    <row r="285" spans="1:21" ht="14.25" hidden="1" customHeight="1" x14ac:dyDescent="0.25">
      <c r="A285" s="41" t="s">
        <v>620</v>
      </c>
      <c r="B285" s="41">
        <v>18720</v>
      </c>
      <c r="C285" s="52">
        <v>5001</v>
      </c>
      <c r="D285" s="52" t="str">
        <f>LEFT(Table1[[#This Row],[Eelarvekonto]],2)</f>
        <v>50</v>
      </c>
      <c r="E285" s="41" t="str">
        <f>VLOOKUP(Table1[[#This Row],[Eelarvekonto]],Table5[[Konto]:[Konto nimetus]],2,FALSE)</f>
        <v xml:space="preserve"> Avaliku teenistuse ametnike töötasu</v>
      </c>
      <c r="F285" s="41" t="s">
        <v>139</v>
      </c>
      <c r="G285" s="41" t="s">
        <v>24</v>
      </c>
      <c r="J285" s="41" t="s">
        <v>365</v>
      </c>
      <c r="K285" s="41" t="s">
        <v>364</v>
      </c>
      <c r="L285" s="58" t="s">
        <v>363</v>
      </c>
      <c r="M285" s="58" t="str">
        <f>LEFT(Table1[[#This Row],[Tegevusala kood]],2)</f>
        <v>10</v>
      </c>
      <c r="N285" s="41" t="str">
        <f>VLOOKUP(Table1[[#This Row],[Tegevusala kood]],Table4[[Tegevusala kood]:[Tegevusala alanimetus]],2,FALSE)</f>
        <v>Muu sotsiaalne kaitse, sh sotsiaalse kaitse haldus</v>
      </c>
      <c r="O285" s="41" t="s">
        <v>1</v>
      </c>
      <c r="P285" s="41" t="s">
        <v>1</v>
      </c>
      <c r="Q285" s="41" t="str">
        <f>VLOOKUP(Table1[[#This Row],[Eelarvekonto]],Table5[[Konto]:[Kontode alanimetus]],5,FALSE)</f>
        <v>Tööjõukulud</v>
      </c>
      <c r="R285" s="42" t="str">
        <f>VLOOKUP(Table1[[#This Row],[Tegevusala kood]],Table4[[Tegevusala kood]:[Tegevusala alanimetus]],4,FALSE)</f>
        <v>Muu sotsiaalne kaitse, sh sotsiaalse kaitse haldus</v>
      </c>
      <c r="S285" s="53"/>
      <c r="T285" s="53"/>
      <c r="U285" s="53">
        <f>Table1[[#This Row],[Summa]]+Table1[[#This Row],[I Muudatus]]+Table1[[#This Row],[II Muudatus]]</f>
        <v>18720</v>
      </c>
    </row>
    <row r="286" spans="1:21" ht="14.25" hidden="1" customHeight="1" x14ac:dyDescent="0.25">
      <c r="A286" s="41" t="s">
        <v>619</v>
      </c>
      <c r="B286" s="41">
        <v>15960</v>
      </c>
      <c r="C286" s="52">
        <v>5001</v>
      </c>
      <c r="D286" s="52" t="str">
        <f>LEFT(Table1[[#This Row],[Eelarvekonto]],2)</f>
        <v>50</v>
      </c>
      <c r="E286" s="41" t="str">
        <f>VLOOKUP(Table1[[#This Row],[Eelarvekonto]],Table5[[Konto]:[Konto nimetus]],2,FALSE)</f>
        <v xml:space="preserve"> Avaliku teenistuse ametnike töötasu</v>
      </c>
      <c r="F286" s="41" t="s">
        <v>139</v>
      </c>
      <c r="G286" s="41" t="s">
        <v>24</v>
      </c>
      <c r="J286" s="41" t="s">
        <v>365</v>
      </c>
      <c r="K286" s="41" t="s">
        <v>364</v>
      </c>
      <c r="L286" s="58" t="s">
        <v>363</v>
      </c>
      <c r="M286" s="58" t="str">
        <f>LEFT(Table1[[#This Row],[Tegevusala kood]],2)</f>
        <v>10</v>
      </c>
      <c r="N286" s="41" t="str">
        <f>VLOOKUP(Table1[[#This Row],[Tegevusala kood]],Table4[[Tegevusala kood]:[Tegevusala alanimetus]],2,FALSE)</f>
        <v>Muu sotsiaalne kaitse, sh sotsiaalse kaitse haldus</v>
      </c>
      <c r="O286" s="41" t="s">
        <v>1</v>
      </c>
      <c r="P286" s="41" t="s">
        <v>1</v>
      </c>
      <c r="Q286" s="41" t="str">
        <f>VLOOKUP(Table1[[#This Row],[Eelarvekonto]],Table5[[Konto]:[Kontode alanimetus]],5,FALSE)</f>
        <v>Tööjõukulud</v>
      </c>
      <c r="R286" s="42" t="str">
        <f>VLOOKUP(Table1[[#This Row],[Tegevusala kood]],Table4[[Tegevusala kood]:[Tegevusala alanimetus]],4,FALSE)</f>
        <v>Muu sotsiaalne kaitse, sh sotsiaalse kaitse haldus</v>
      </c>
      <c r="S286" s="53"/>
      <c r="T286" s="53"/>
      <c r="U286" s="53">
        <f>Table1[[#This Row],[Summa]]+Table1[[#This Row],[I Muudatus]]+Table1[[#This Row],[II Muudatus]]</f>
        <v>15960</v>
      </c>
    </row>
    <row r="287" spans="1:21" ht="14.25" hidden="1" customHeight="1" x14ac:dyDescent="0.25">
      <c r="A287" s="41" t="s">
        <v>619</v>
      </c>
      <c r="B287" s="41">
        <v>18720</v>
      </c>
      <c r="C287" s="52">
        <v>5001</v>
      </c>
      <c r="D287" s="52" t="str">
        <f>LEFT(Table1[[#This Row],[Eelarvekonto]],2)</f>
        <v>50</v>
      </c>
      <c r="E287" s="41" t="str">
        <f>VLOOKUP(Table1[[#This Row],[Eelarvekonto]],Table5[[Konto]:[Konto nimetus]],2,FALSE)</f>
        <v xml:space="preserve"> Avaliku teenistuse ametnike töötasu</v>
      </c>
      <c r="F287" s="41" t="s">
        <v>139</v>
      </c>
      <c r="G287" s="41" t="s">
        <v>24</v>
      </c>
      <c r="J287" s="41" t="s">
        <v>365</v>
      </c>
      <c r="K287" s="41" t="s">
        <v>364</v>
      </c>
      <c r="L287" s="58" t="s">
        <v>363</v>
      </c>
      <c r="M287" s="58" t="str">
        <f>LEFT(Table1[[#This Row],[Tegevusala kood]],2)</f>
        <v>10</v>
      </c>
      <c r="N287" s="41" t="str">
        <f>VLOOKUP(Table1[[#This Row],[Tegevusala kood]],Table4[[Tegevusala kood]:[Tegevusala alanimetus]],2,FALSE)</f>
        <v>Muu sotsiaalne kaitse, sh sotsiaalse kaitse haldus</v>
      </c>
      <c r="O287" s="41" t="s">
        <v>1</v>
      </c>
      <c r="P287" s="41" t="s">
        <v>1</v>
      </c>
      <c r="Q287" s="41" t="str">
        <f>VLOOKUP(Table1[[#This Row],[Eelarvekonto]],Table5[[Konto]:[Kontode alanimetus]],5,FALSE)</f>
        <v>Tööjõukulud</v>
      </c>
      <c r="R287" s="42" t="str">
        <f>VLOOKUP(Table1[[#This Row],[Tegevusala kood]],Table4[[Tegevusala kood]:[Tegevusala alanimetus]],4,FALSE)</f>
        <v>Muu sotsiaalne kaitse, sh sotsiaalse kaitse haldus</v>
      </c>
      <c r="S287" s="53"/>
      <c r="T287" s="53"/>
      <c r="U287" s="53">
        <f>Table1[[#This Row],[Summa]]+Table1[[#This Row],[I Muudatus]]+Table1[[#This Row],[II Muudatus]]</f>
        <v>18720</v>
      </c>
    </row>
    <row r="288" spans="1:21" ht="14.25" hidden="1" customHeight="1" x14ac:dyDescent="0.25">
      <c r="A288" s="41" t="s">
        <v>618</v>
      </c>
      <c r="B288" s="41">
        <v>3192</v>
      </c>
      <c r="C288" s="52">
        <v>551308</v>
      </c>
      <c r="D288" s="52" t="str">
        <f>LEFT(Table1[[#This Row],[Eelarvekonto]],2)</f>
        <v>55</v>
      </c>
      <c r="E288" s="41" t="str">
        <f>VLOOKUP(Table1[[#This Row],[Eelarvekonto]],Table5[[Konto]:[Konto nimetus]],2,FALSE)</f>
        <v>Sõidukite kasutusrent</v>
      </c>
      <c r="F288" s="41" t="s">
        <v>139</v>
      </c>
      <c r="G288" s="41" t="s">
        <v>24</v>
      </c>
      <c r="J288" s="41" t="s">
        <v>365</v>
      </c>
      <c r="K288" s="41" t="s">
        <v>364</v>
      </c>
      <c r="L288" s="58" t="s">
        <v>363</v>
      </c>
      <c r="M288" s="58" t="str">
        <f>LEFT(Table1[[#This Row],[Tegevusala kood]],2)</f>
        <v>10</v>
      </c>
      <c r="N288" s="41" t="str">
        <f>VLOOKUP(Table1[[#This Row],[Tegevusala kood]],Table4[[Tegevusala kood]:[Tegevusala alanimetus]],2,FALSE)</f>
        <v>Muu sotsiaalne kaitse, sh sotsiaalse kaitse haldus</v>
      </c>
      <c r="O288" s="41" t="s">
        <v>1</v>
      </c>
      <c r="P288" s="41" t="s">
        <v>1</v>
      </c>
      <c r="Q288" s="41" t="str">
        <f>VLOOKUP(Table1[[#This Row],[Eelarvekonto]],Table5[[Konto]:[Kontode alanimetus]],5,FALSE)</f>
        <v>Majandamiskulud</v>
      </c>
      <c r="R288" s="42" t="str">
        <f>VLOOKUP(Table1[[#This Row],[Tegevusala kood]],Table4[[Tegevusala kood]:[Tegevusala alanimetus]],4,FALSE)</f>
        <v>Muu sotsiaalne kaitse, sh sotsiaalse kaitse haldus</v>
      </c>
      <c r="S288" s="53"/>
      <c r="T288" s="53"/>
      <c r="U288" s="53">
        <f>Table1[[#This Row],[Summa]]+Table1[[#This Row],[I Muudatus]]+Table1[[#This Row],[II Muudatus]]</f>
        <v>3192</v>
      </c>
    </row>
    <row r="289" spans="1:21" ht="14.25" hidden="1" customHeight="1" x14ac:dyDescent="0.25">
      <c r="A289" s="41" t="s">
        <v>521</v>
      </c>
      <c r="B289" s="41">
        <v>3526.2</v>
      </c>
      <c r="C289" s="52">
        <v>551308</v>
      </c>
      <c r="D289" s="52" t="str">
        <f>LEFT(Table1[[#This Row],[Eelarvekonto]],2)</f>
        <v>55</v>
      </c>
      <c r="E289" s="41" t="str">
        <f>VLOOKUP(Table1[[#This Row],[Eelarvekonto]],Table5[[Konto]:[Konto nimetus]],2,FALSE)</f>
        <v>Sõidukite kasutusrent</v>
      </c>
      <c r="F289" s="41" t="s">
        <v>139</v>
      </c>
      <c r="G289" s="41" t="s">
        <v>24</v>
      </c>
      <c r="J289" s="41" t="s">
        <v>365</v>
      </c>
      <c r="K289" s="41" t="s">
        <v>364</v>
      </c>
      <c r="L289" s="58" t="s">
        <v>363</v>
      </c>
      <c r="M289" s="58" t="str">
        <f>LEFT(Table1[[#This Row],[Tegevusala kood]],2)</f>
        <v>10</v>
      </c>
      <c r="N289" s="41" t="str">
        <f>VLOOKUP(Table1[[#This Row],[Tegevusala kood]],Table4[[Tegevusala kood]:[Tegevusala alanimetus]],2,FALSE)</f>
        <v>Muu sotsiaalne kaitse, sh sotsiaalse kaitse haldus</v>
      </c>
      <c r="O289" s="41" t="s">
        <v>1</v>
      </c>
      <c r="P289" s="41" t="s">
        <v>1</v>
      </c>
      <c r="Q289" s="41" t="str">
        <f>VLOOKUP(Table1[[#This Row],[Eelarvekonto]],Table5[[Konto]:[Kontode alanimetus]],5,FALSE)</f>
        <v>Majandamiskulud</v>
      </c>
      <c r="R289" s="42" t="str">
        <f>VLOOKUP(Table1[[#This Row],[Tegevusala kood]],Table4[[Tegevusala kood]:[Tegevusala alanimetus]],4,FALSE)</f>
        <v>Muu sotsiaalne kaitse, sh sotsiaalse kaitse haldus</v>
      </c>
      <c r="S289" s="53"/>
      <c r="T289" s="53"/>
      <c r="U289" s="53">
        <f>Table1[[#This Row],[Summa]]+Table1[[#This Row],[I Muudatus]]+Table1[[#This Row],[II Muudatus]]</f>
        <v>3526.2</v>
      </c>
    </row>
    <row r="290" spans="1:21" ht="14.25" hidden="1" customHeight="1" x14ac:dyDescent="0.25">
      <c r="A290" s="41" t="s">
        <v>502</v>
      </c>
      <c r="B290" s="41">
        <v>700</v>
      </c>
      <c r="C290" s="52">
        <v>5524</v>
      </c>
      <c r="D290" s="52" t="str">
        <f>LEFT(Table1[[#This Row],[Eelarvekonto]],2)</f>
        <v>55</v>
      </c>
      <c r="E290" s="41" t="str">
        <f>VLOOKUP(Table1[[#This Row],[Eelarvekonto]],Table5[[Konto]:[Konto nimetus]],2,FALSE)</f>
        <v>Õppevahendite ja koolituse kulud</v>
      </c>
      <c r="F290" s="41" t="s">
        <v>139</v>
      </c>
      <c r="G290" s="41" t="s">
        <v>24</v>
      </c>
      <c r="J290" s="41" t="s">
        <v>280</v>
      </c>
      <c r="K290" s="41" t="s">
        <v>109</v>
      </c>
      <c r="L290" s="58" t="s">
        <v>279</v>
      </c>
      <c r="M290" s="58" t="str">
        <f>LEFT(Table1[[#This Row],[Tegevusala kood]],2)</f>
        <v>09</v>
      </c>
      <c r="N290" s="41" t="str">
        <f>VLOOKUP(Table1[[#This Row],[Tegevusala kood]],Table4[[Tegevusala kood]:[Tegevusala alanimetus]],2,FALSE)</f>
        <v>Laekvere Kool</v>
      </c>
      <c r="O290" s="41" t="s">
        <v>1</v>
      </c>
      <c r="P290" s="41" t="s">
        <v>1</v>
      </c>
      <c r="Q290" s="41" t="str">
        <f>VLOOKUP(Table1[[#This Row],[Eelarvekonto]],Table5[[Konto]:[Kontode alanimetus]],5,FALSE)</f>
        <v>Majandamiskulud</v>
      </c>
      <c r="R290" s="42" t="str">
        <f>VLOOKUP(Table1[[#This Row],[Tegevusala kood]],Table4[[Tegevusala kood]:[Tegevusala alanimetus]],4,FALSE)</f>
        <v>Põhihariduse otsekulud</v>
      </c>
      <c r="S290" s="53"/>
      <c r="T290" s="53"/>
      <c r="U290" s="53">
        <f>Table1[[#This Row],[Summa]]+Table1[[#This Row],[I Muudatus]]+Table1[[#This Row],[II Muudatus]]</f>
        <v>700</v>
      </c>
    </row>
    <row r="291" spans="1:21" ht="14.25" hidden="1" customHeight="1" x14ac:dyDescent="0.25">
      <c r="A291" s="41" t="s">
        <v>450</v>
      </c>
      <c r="B291" s="41">
        <v>438</v>
      </c>
      <c r="C291" s="52">
        <v>5524</v>
      </c>
      <c r="D291" s="52" t="str">
        <f>LEFT(Table1[[#This Row],[Eelarvekonto]],2)</f>
        <v>55</v>
      </c>
      <c r="E291" s="41" t="str">
        <f>VLOOKUP(Table1[[#This Row],[Eelarvekonto]],Table5[[Konto]:[Konto nimetus]],2,FALSE)</f>
        <v>Õppevahendite ja koolituse kulud</v>
      </c>
      <c r="F291" s="41" t="s">
        <v>139</v>
      </c>
      <c r="G291" s="41" t="s">
        <v>24</v>
      </c>
      <c r="J291" s="41" t="s">
        <v>280</v>
      </c>
      <c r="K291" s="41" t="s">
        <v>109</v>
      </c>
      <c r="L291" s="58" t="s">
        <v>279</v>
      </c>
      <c r="M291" s="58" t="str">
        <f>LEFT(Table1[[#This Row],[Tegevusala kood]],2)</f>
        <v>09</v>
      </c>
      <c r="N291" s="41" t="str">
        <f>VLOOKUP(Table1[[#This Row],[Tegevusala kood]],Table4[[Tegevusala kood]:[Tegevusala alanimetus]],2,FALSE)</f>
        <v>Laekvere Kool</v>
      </c>
      <c r="O291" s="41" t="s">
        <v>1</v>
      </c>
      <c r="P291" s="41" t="s">
        <v>1</v>
      </c>
      <c r="Q291" s="41" t="str">
        <f>VLOOKUP(Table1[[#This Row],[Eelarvekonto]],Table5[[Konto]:[Kontode alanimetus]],5,FALSE)</f>
        <v>Majandamiskulud</v>
      </c>
      <c r="R291" s="42" t="str">
        <f>VLOOKUP(Table1[[#This Row],[Tegevusala kood]],Table4[[Tegevusala kood]:[Tegevusala alanimetus]],4,FALSE)</f>
        <v>Põhihariduse otsekulud</v>
      </c>
      <c r="S291" s="53"/>
      <c r="T291" s="53"/>
      <c r="U291" s="53">
        <f>Table1[[#This Row],[Summa]]+Table1[[#This Row],[I Muudatus]]+Table1[[#This Row],[II Muudatus]]</f>
        <v>438</v>
      </c>
    </row>
    <row r="292" spans="1:21" ht="14.25" hidden="1" customHeight="1" x14ac:dyDescent="0.25">
      <c r="A292" s="41" t="s">
        <v>975</v>
      </c>
      <c r="B292" s="41">
        <v>2250</v>
      </c>
      <c r="C292" s="52">
        <v>551300</v>
      </c>
      <c r="D292" s="52" t="str">
        <f>LEFT(Table1[[#This Row],[Eelarvekonto]],2)</f>
        <v>55</v>
      </c>
      <c r="E292" s="41" t="str">
        <f>VLOOKUP(Table1[[#This Row],[Eelarvekonto]],Table5[[Konto]:[Konto nimetus]],2,FALSE)</f>
        <v>Kütus</v>
      </c>
      <c r="F292" s="41" t="s">
        <v>139</v>
      </c>
      <c r="G292" s="41" t="s">
        <v>24</v>
      </c>
      <c r="J292" s="41" t="s">
        <v>280</v>
      </c>
      <c r="K292" s="41" t="s">
        <v>109</v>
      </c>
      <c r="L292" s="58" t="s">
        <v>279</v>
      </c>
      <c r="M292" s="58" t="str">
        <f>LEFT(Table1[[#This Row],[Tegevusala kood]],2)</f>
        <v>09</v>
      </c>
      <c r="N292" s="41" t="str">
        <f>VLOOKUP(Table1[[#This Row],[Tegevusala kood]],Table4[[Tegevusala kood]:[Tegevusala alanimetus]],2,FALSE)</f>
        <v>Laekvere Kool</v>
      </c>
      <c r="O292" s="41" t="s">
        <v>1</v>
      </c>
      <c r="P292" s="41" t="s">
        <v>1</v>
      </c>
      <c r="Q292" s="41" t="str">
        <f>VLOOKUP(Table1[[#This Row],[Eelarvekonto]],Table5[[Konto]:[Kontode alanimetus]],5,FALSE)</f>
        <v>Majandamiskulud</v>
      </c>
      <c r="R292" s="42" t="str">
        <f>VLOOKUP(Table1[[#This Row],[Tegevusala kood]],Table4[[Tegevusala kood]:[Tegevusala alanimetus]],4,FALSE)</f>
        <v>Põhihariduse otsekulud</v>
      </c>
      <c r="S292" s="53"/>
      <c r="T292" s="53"/>
      <c r="U292" s="53">
        <f>Table1[[#This Row],[Summa]]+Table1[[#This Row],[I Muudatus]]+Table1[[#This Row],[II Muudatus]]</f>
        <v>2250</v>
      </c>
    </row>
    <row r="293" spans="1:21" ht="14.25" hidden="1" customHeight="1" x14ac:dyDescent="0.25">
      <c r="A293" s="41" t="s">
        <v>973</v>
      </c>
      <c r="B293" s="41">
        <v>95</v>
      </c>
      <c r="C293" s="52">
        <v>551307</v>
      </c>
      <c r="D293" s="52" t="str">
        <f>LEFT(Table1[[#This Row],[Eelarvekonto]],2)</f>
        <v>55</v>
      </c>
      <c r="E293" s="41" t="str">
        <f>VLOOKUP(Table1[[#This Row],[Eelarvekonto]],Table5[[Konto]:[Konto nimetus]],2,FALSE)</f>
        <v>Kindlustus</v>
      </c>
      <c r="F293" s="41" t="s">
        <v>139</v>
      </c>
      <c r="G293" s="41" t="s">
        <v>24</v>
      </c>
      <c r="J293" s="41" t="s">
        <v>280</v>
      </c>
      <c r="K293" s="41" t="s">
        <v>109</v>
      </c>
      <c r="L293" s="58" t="s">
        <v>279</v>
      </c>
      <c r="M293" s="58" t="str">
        <f>LEFT(Table1[[#This Row],[Tegevusala kood]],2)</f>
        <v>09</v>
      </c>
      <c r="N293" s="41" t="str">
        <f>VLOOKUP(Table1[[#This Row],[Tegevusala kood]],Table4[[Tegevusala kood]:[Tegevusala alanimetus]],2,FALSE)</f>
        <v>Laekvere Kool</v>
      </c>
      <c r="O293" s="41" t="s">
        <v>1</v>
      </c>
      <c r="P293" s="41" t="s">
        <v>1</v>
      </c>
      <c r="Q293" s="41" t="str">
        <f>VLOOKUP(Table1[[#This Row],[Eelarvekonto]],Table5[[Konto]:[Kontode alanimetus]],5,FALSE)</f>
        <v>Majandamiskulud</v>
      </c>
      <c r="R293" s="42" t="str">
        <f>VLOOKUP(Table1[[#This Row],[Tegevusala kood]],Table4[[Tegevusala kood]:[Tegevusala alanimetus]],4,FALSE)</f>
        <v>Põhihariduse otsekulud</v>
      </c>
      <c r="S293" s="53"/>
      <c r="T293" s="53"/>
      <c r="U293" s="53">
        <f>Table1[[#This Row],[Summa]]+Table1[[#This Row],[I Muudatus]]+Table1[[#This Row],[II Muudatus]]</f>
        <v>95</v>
      </c>
    </row>
    <row r="294" spans="1:21" ht="14.25" hidden="1" customHeight="1" x14ac:dyDescent="0.25">
      <c r="A294" s="41" t="s">
        <v>174</v>
      </c>
      <c r="B294" s="41">
        <v>345</v>
      </c>
      <c r="C294" s="52">
        <v>5513</v>
      </c>
      <c r="D294" s="52" t="str">
        <f>LEFT(Table1[[#This Row],[Eelarvekonto]],2)</f>
        <v>55</v>
      </c>
      <c r="E294" s="41" t="str">
        <f>VLOOKUP(Table1[[#This Row],[Eelarvekonto]],Table5[[Konto]:[Konto nimetus]],2,FALSE)</f>
        <v>Sõidukite ülalpidamise kulud</v>
      </c>
      <c r="F294" s="41" t="s">
        <v>139</v>
      </c>
      <c r="G294" s="41" t="s">
        <v>24</v>
      </c>
      <c r="J294" s="41" t="s">
        <v>280</v>
      </c>
      <c r="K294" s="41" t="s">
        <v>109</v>
      </c>
      <c r="L294" s="58" t="s">
        <v>279</v>
      </c>
      <c r="M294" s="58" t="str">
        <f>LEFT(Table1[[#This Row],[Tegevusala kood]],2)</f>
        <v>09</v>
      </c>
      <c r="N294" s="41" t="str">
        <f>VLOOKUP(Table1[[#This Row],[Tegevusala kood]],Table4[[Tegevusala kood]:[Tegevusala alanimetus]],2,FALSE)</f>
        <v>Laekvere Kool</v>
      </c>
      <c r="O294" s="41" t="s">
        <v>1</v>
      </c>
      <c r="P294" s="41" t="s">
        <v>1</v>
      </c>
      <c r="Q294" s="41" t="str">
        <f>VLOOKUP(Table1[[#This Row],[Eelarvekonto]],Table5[[Konto]:[Kontode alanimetus]],5,FALSE)</f>
        <v>Majandamiskulud</v>
      </c>
      <c r="R294" s="42" t="str">
        <f>VLOOKUP(Table1[[#This Row],[Tegevusala kood]],Table4[[Tegevusala kood]:[Tegevusala alanimetus]],4,FALSE)</f>
        <v>Põhihariduse otsekulud</v>
      </c>
      <c r="S294" s="53"/>
      <c r="T294" s="53"/>
      <c r="U294" s="53">
        <f>Table1[[#This Row],[Summa]]+Table1[[#This Row],[I Muudatus]]+Table1[[#This Row],[II Muudatus]]</f>
        <v>345</v>
      </c>
    </row>
    <row r="295" spans="1:21" ht="14.25" hidden="1" customHeight="1" x14ac:dyDescent="0.25">
      <c r="A295" s="41" t="s">
        <v>974</v>
      </c>
      <c r="B295" s="41">
        <v>360</v>
      </c>
      <c r="C295" s="52">
        <v>551307</v>
      </c>
      <c r="D295" s="52" t="str">
        <f>LEFT(Table1[[#This Row],[Eelarvekonto]],2)</f>
        <v>55</v>
      </c>
      <c r="E295" s="41" t="str">
        <f>VLOOKUP(Table1[[#This Row],[Eelarvekonto]],Table5[[Konto]:[Konto nimetus]],2,FALSE)</f>
        <v>Kindlustus</v>
      </c>
      <c r="F295" s="41" t="s">
        <v>139</v>
      </c>
      <c r="G295" s="41" t="s">
        <v>24</v>
      </c>
      <c r="J295" s="41" t="s">
        <v>280</v>
      </c>
      <c r="K295" s="41" t="s">
        <v>109</v>
      </c>
      <c r="L295" s="58" t="s">
        <v>279</v>
      </c>
      <c r="M295" s="58" t="str">
        <f>LEFT(Table1[[#This Row],[Tegevusala kood]],2)</f>
        <v>09</v>
      </c>
      <c r="N295" s="41" t="str">
        <f>VLOOKUP(Table1[[#This Row],[Tegevusala kood]],Table4[[Tegevusala kood]:[Tegevusala alanimetus]],2,FALSE)</f>
        <v>Laekvere Kool</v>
      </c>
      <c r="O295" s="41" t="s">
        <v>1</v>
      </c>
      <c r="P295" s="41" t="s">
        <v>1</v>
      </c>
      <c r="Q295" s="41" t="str">
        <f>VLOOKUP(Table1[[#This Row],[Eelarvekonto]],Table5[[Konto]:[Kontode alanimetus]],5,FALSE)</f>
        <v>Majandamiskulud</v>
      </c>
      <c r="R295" s="42" t="str">
        <f>VLOOKUP(Table1[[#This Row],[Tegevusala kood]],Table4[[Tegevusala kood]:[Tegevusala alanimetus]],4,FALSE)</f>
        <v>Põhihariduse otsekulud</v>
      </c>
      <c r="S295" s="53"/>
      <c r="T295" s="53"/>
      <c r="U295" s="53">
        <f>Table1[[#This Row],[Summa]]+Table1[[#This Row],[I Muudatus]]+Table1[[#This Row],[II Muudatus]]</f>
        <v>360</v>
      </c>
    </row>
    <row r="296" spans="1:21" ht="14.25" hidden="1" customHeight="1" x14ac:dyDescent="0.25">
      <c r="A296" s="41" t="s">
        <v>1055</v>
      </c>
      <c r="B296" s="41">
        <v>350</v>
      </c>
      <c r="C296" s="52">
        <v>5513</v>
      </c>
      <c r="D296" s="52" t="str">
        <f>LEFT(Table1[[#This Row],[Eelarvekonto]],2)</f>
        <v>55</v>
      </c>
      <c r="E296" s="41" t="str">
        <f>VLOOKUP(Table1[[#This Row],[Eelarvekonto]],Table5[[Konto]:[Konto nimetus]],2,FALSE)</f>
        <v>Sõidukite ülalpidamise kulud</v>
      </c>
      <c r="F296" s="41" t="s">
        <v>139</v>
      </c>
      <c r="G296" s="41" t="s">
        <v>24</v>
      </c>
      <c r="J296" s="41" t="s">
        <v>280</v>
      </c>
      <c r="K296" s="41" t="s">
        <v>109</v>
      </c>
      <c r="L296" s="58" t="s">
        <v>279</v>
      </c>
      <c r="M296" s="58" t="str">
        <f>LEFT(Table1[[#This Row],[Tegevusala kood]],2)</f>
        <v>09</v>
      </c>
      <c r="N296" s="41" t="str">
        <f>VLOOKUP(Table1[[#This Row],[Tegevusala kood]],Table4[[Tegevusala kood]:[Tegevusala alanimetus]],2,FALSE)</f>
        <v>Laekvere Kool</v>
      </c>
      <c r="O296" s="41" t="s">
        <v>1</v>
      </c>
      <c r="P296" s="41" t="s">
        <v>1</v>
      </c>
      <c r="Q296" s="41" t="str">
        <f>VLOOKUP(Table1[[#This Row],[Eelarvekonto]],Table5[[Konto]:[Kontode alanimetus]],5,FALSE)</f>
        <v>Majandamiskulud</v>
      </c>
      <c r="R296" s="42" t="str">
        <f>VLOOKUP(Table1[[#This Row],[Tegevusala kood]],Table4[[Tegevusala kood]:[Tegevusala alanimetus]],4,FALSE)</f>
        <v>Põhihariduse otsekulud</v>
      </c>
      <c r="S296" s="53"/>
      <c r="T296" s="53"/>
      <c r="U296" s="53">
        <f>Table1[[#This Row],[Summa]]+Table1[[#This Row],[I Muudatus]]+Table1[[#This Row],[II Muudatus]]</f>
        <v>350</v>
      </c>
    </row>
    <row r="297" spans="1:21" ht="14.25" hidden="1" customHeight="1" x14ac:dyDescent="0.25">
      <c r="A297" s="41" t="s">
        <v>553</v>
      </c>
      <c r="B297" s="41">
        <v>704</v>
      </c>
      <c r="C297" s="52">
        <v>5513081</v>
      </c>
      <c r="D297" s="52" t="str">
        <f>LEFT(Table1[[#This Row],[Eelarvekonto]],2)</f>
        <v>55</v>
      </c>
      <c r="E297" s="41" t="str">
        <f>VLOOKUP(Table1[[#This Row],[Eelarvekonto]],Table5[[Konto]:[Konto nimetus]],2,FALSE)</f>
        <v>Isikliku sõiduauto kompensatsioon</v>
      </c>
      <c r="F297" s="41" t="s">
        <v>139</v>
      </c>
      <c r="G297" s="41" t="s">
        <v>24</v>
      </c>
      <c r="J297" s="41" t="s">
        <v>280</v>
      </c>
      <c r="K297" s="41" t="s">
        <v>109</v>
      </c>
      <c r="L297" s="58" t="s">
        <v>279</v>
      </c>
      <c r="M297" s="58" t="str">
        <f>LEFT(Table1[[#This Row],[Tegevusala kood]],2)</f>
        <v>09</v>
      </c>
      <c r="N297" s="41" t="str">
        <f>VLOOKUP(Table1[[#This Row],[Tegevusala kood]],Table4[[Tegevusala kood]:[Tegevusala alanimetus]],2,FALSE)</f>
        <v>Laekvere Kool</v>
      </c>
      <c r="O297" s="41" t="s">
        <v>1</v>
      </c>
      <c r="P297" s="41" t="s">
        <v>1</v>
      </c>
      <c r="Q297" s="41" t="str">
        <f>VLOOKUP(Table1[[#This Row],[Eelarvekonto]],Table5[[Konto]:[Kontode alanimetus]],5,FALSE)</f>
        <v>Majandamiskulud</v>
      </c>
      <c r="R297" s="42" t="str">
        <f>VLOOKUP(Table1[[#This Row],[Tegevusala kood]],Table4[[Tegevusala kood]:[Tegevusala alanimetus]],4,FALSE)</f>
        <v>Põhihariduse otsekulud</v>
      </c>
      <c r="S297" s="53"/>
      <c r="T297" s="53"/>
      <c r="U297" s="53">
        <f>Table1[[#This Row],[Summa]]+Table1[[#This Row],[I Muudatus]]+Table1[[#This Row],[II Muudatus]]</f>
        <v>704</v>
      </c>
    </row>
    <row r="298" spans="1:21" ht="14.25" hidden="1" customHeight="1" x14ac:dyDescent="0.25">
      <c r="A298" s="41" t="s">
        <v>537</v>
      </c>
      <c r="B298" s="41">
        <v>704</v>
      </c>
      <c r="C298" s="52">
        <v>5513081</v>
      </c>
      <c r="D298" s="52" t="str">
        <f>LEFT(Table1[[#This Row],[Eelarvekonto]],2)</f>
        <v>55</v>
      </c>
      <c r="E298" s="41" t="str">
        <f>VLOOKUP(Table1[[#This Row],[Eelarvekonto]],Table5[[Konto]:[Konto nimetus]],2,FALSE)</f>
        <v>Isikliku sõiduauto kompensatsioon</v>
      </c>
      <c r="F298" s="41" t="s">
        <v>139</v>
      </c>
      <c r="G298" s="41" t="s">
        <v>24</v>
      </c>
      <c r="J298" s="41" t="s">
        <v>280</v>
      </c>
      <c r="K298" s="41" t="s">
        <v>109</v>
      </c>
      <c r="L298" s="58" t="s">
        <v>279</v>
      </c>
      <c r="M298" s="58" t="str">
        <f>LEFT(Table1[[#This Row],[Tegevusala kood]],2)</f>
        <v>09</v>
      </c>
      <c r="N298" s="41" t="str">
        <f>VLOOKUP(Table1[[#This Row],[Tegevusala kood]],Table4[[Tegevusala kood]:[Tegevusala alanimetus]],2,FALSE)</f>
        <v>Laekvere Kool</v>
      </c>
      <c r="O298" s="41" t="s">
        <v>1</v>
      </c>
      <c r="P298" s="41" t="s">
        <v>1</v>
      </c>
      <c r="Q298" s="41" t="str">
        <f>VLOOKUP(Table1[[#This Row],[Eelarvekonto]],Table5[[Konto]:[Kontode alanimetus]],5,FALSE)</f>
        <v>Majandamiskulud</v>
      </c>
      <c r="R298" s="42" t="str">
        <f>VLOOKUP(Table1[[#This Row],[Tegevusala kood]],Table4[[Tegevusala kood]:[Tegevusala alanimetus]],4,FALSE)</f>
        <v>Põhihariduse otsekulud</v>
      </c>
      <c r="S298" s="53"/>
      <c r="T298" s="53"/>
      <c r="U298" s="53">
        <f>Table1[[#This Row],[Summa]]+Table1[[#This Row],[I Muudatus]]+Table1[[#This Row],[II Muudatus]]</f>
        <v>704</v>
      </c>
    </row>
    <row r="299" spans="1:21" ht="14.25" hidden="1" customHeight="1" x14ac:dyDescent="0.25">
      <c r="A299" s="41" t="s">
        <v>552</v>
      </c>
      <c r="B299" s="41">
        <v>440</v>
      </c>
      <c r="C299" s="52">
        <v>5513081</v>
      </c>
      <c r="D299" s="52" t="str">
        <f>LEFT(Table1[[#This Row],[Eelarvekonto]],2)</f>
        <v>55</v>
      </c>
      <c r="E299" s="41" t="str">
        <f>VLOOKUP(Table1[[#This Row],[Eelarvekonto]],Table5[[Konto]:[Konto nimetus]],2,FALSE)</f>
        <v>Isikliku sõiduauto kompensatsioon</v>
      </c>
      <c r="F299" s="41" t="s">
        <v>139</v>
      </c>
      <c r="G299" s="41" t="s">
        <v>24</v>
      </c>
      <c r="J299" s="41" t="s">
        <v>280</v>
      </c>
      <c r="K299" s="41" t="s">
        <v>109</v>
      </c>
      <c r="L299" s="58" t="s">
        <v>279</v>
      </c>
      <c r="M299" s="58" t="str">
        <f>LEFT(Table1[[#This Row],[Tegevusala kood]],2)</f>
        <v>09</v>
      </c>
      <c r="N299" s="41" t="str">
        <f>VLOOKUP(Table1[[#This Row],[Tegevusala kood]],Table4[[Tegevusala kood]:[Tegevusala alanimetus]],2,FALSE)</f>
        <v>Laekvere Kool</v>
      </c>
      <c r="O299" s="41" t="s">
        <v>1</v>
      </c>
      <c r="P299" s="41" t="s">
        <v>1</v>
      </c>
      <c r="Q299" s="41" t="str">
        <f>VLOOKUP(Table1[[#This Row],[Eelarvekonto]],Table5[[Konto]:[Kontode alanimetus]],5,FALSE)</f>
        <v>Majandamiskulud</v>
      </c>
      <c r="R299" s="42" t="str">
        <f>VLOOKUP(Table1[[#This Row],[Tegevusala kood]],Table4[[Tegevusala kood]:[Tegevusala alanimetus]],4,FALSE)</f>
        <v>Põhihariduse otsekulud</v>
      </c>
      <c r="S299" s="53"/>
      <c r="T299" s="53"/>
      <c r="U299" s="53">
        <f>Table1[[#This Row],[Summa]]+Table1[[#This Row],[I Muudatus]]+Table1[[#This Row],[II Muudatus]]</f>
        <v>440</v>
      </c>
    </row>
    <row r="300" spans="1:21" ht="14.25" hidden="1" customHeight="1" x14ac:dyDescent="0.25">
      <c r="A300" s="41" t="s">
        <v>508</v>
      </c>
      <c r="B300" s="41">
        <v>7584</v>
      </c>
      <c r="C300" s="52">
        <v>5002</v>
      </c>
      <c r="D300" s="52" t="str">
        <f>LEFT(Table1[[#This Row],[Eelarvekonto]],2)</f>
        <v>50</v>
      </c>
      <c r="E300" s="41" t="str">
        <f>VLOOKUP(Table1[[#This Row],[Eelarvekonto]],Table5[[Konto]:[Konto nimetus]],2,FALSE)</f>
        <v>Töötajate töötasud</v>
      </c>
      <c r="F300" s="41" t="s">
        <v>139</v>
      </c>
      <c r="G300" s="41" t="s">
        <v>24</v>
      </c>
      <c r="J300" s="41" t="s">
        <v>280</v>
      </c>
      <c r="K300" s="41" t="s">
        <v>109</v>
      </c>
      <c r="L300" s="58" t="s">
        <v>279</v>
      </c>
      <c r="M300" s="58" t="str">
        <f>LEFT(Table1[[#This Row],[Tegevusala kood]],2)</f>
        <v>09</v>
      </c>
      <c r="N300" s="41" t="str">
        <f>VLOOKUP(Table1[[#This Row],[Tegevusala kood]],Table4[[Tegevusala kood]:[Tegevusala alanimetus]],2,FALSE)</f>
        <v>Laekvere Kool</v>
      </c>
      <c r="O300" s="41" t="s">
        <v>1</v>
      </c>
      <c r="P300" s="41" t="s">
        <v>1</v>
      </c>
      <c r="Q300" s="41" t="str">
        <f>VLOOKUP(Table1[[#This Row],[Eelarvekonto]],Table5[[Konto]:[Kontode alanimetus]],5,FALSE)</f>
        <v>Tööjõukulud</v>
      </c>
      <c r="R300" s="42" t="str">
        <f>VLOOKUP(Table1[[#This Row],[Tegevusala kood]],Table4[[Tegevusala kood]:[Tegevusala alanimetus]],4,FALSE)</f>
        <v>Põhihariduse otsekulud</v>
      </c>
      <c r="S300" s="53"/>
      <c r="T300" s="53"/>
      <c r="U300" s="53">
        <f>Table1[[#This Row],[Summa]]+Table1[[#This Row],[I Muudatus]]+Table1[[#This Row],[II Muudatus]]</f>
        <v>7584</v>
      </c>
    </row>
    <row r="301" spans="1:21" ht="14.25" hidden="1" customHeight="1" x14ac:dyDescent="0.25">
      <c r="A301" s="41" t="s">
        <v>158</v>
      </c>
      <c r="B301" s="41">
        <v>21426.83</v>
      </c>
      <c r="C301" s="52">
        <v>506</v>
      </c>
      <c r="D301" s="52" t="str">
        <f>LEFT(Table1[[#This Row],[Eelarvekonto]],2)</f>
        <v>50</v>
      </c>
      <c r="E301" s="41" t="str">
        <f>VLOOKUP(Table1[[#This Row],[Eelarvekonto]],Table5[[Konto]:[Konto nimetus]],2,FALSE)</f>
        <v>Tööjõukuludega kaasnevad maksud ja sotsiaalkindlustusmaksed</v>
      </c>
      <c r="F301" s="41" t="s">
        <v>139</v>
      </c>
      <c r="G301" s="41" t="s">
        <v>24</v>
      </c>
      <c r="J301" s="41" t="s">
        <v>280</v>
      </c>
      <c r="K301" s="41" t="s">
        <v>109</v>
      </c>
      <c r="L301" s="58" t="s">
        <v>279</v>
      </c>
      <c r="M301" s="58" t="str">
        <f>LEFT(Table1[[#This Row],[Tegevusala kood]],2)</f>
        <v>09</v>
      </c>
      <c r="N301" s="41" t="str">
        <f>VLOOKUP(Table1[[#This Row],[Tegevusala kood]],Table4[[Tegevusala kood]:[Tegevusala alanimetus]],2,FALSE)</f>
        <v>Laekvere Kool</v>
      </c>
      <c r="O301" s="41" t="s">
        <v>1</v>
      </c>
      <c r="P301" s="41" t="s">
        <v>1</v>
      </c>
      <c r="Q301" s="41" t="str">
        <f>VLOOKUP(Table1[[#This Row],[Eelarvekonto]],Table5[[Konto]:[Kontode alanimetus]],5,FALSE)</f>
        <v>Tööjõukulud</v>
      </c>
      <c r="R301" s="42" t="str">
        <f>VLOOKUP(Table1[[#This Row],[Tegevusala kood]],Table4[[Tegevusala kood]:[Tegevusala alanimetus]],4,FALSE)</f>
        <v>Põhihariduse otsekulud</v>
      </c>
      <c r="S301" s="60"/>
      <c r="T301" s="53"/>
      <c r="U301" s="53">
        <f>Table1[[#This Row],[Summa]]+Table1[[#This Row],[I Muudatus]]+Table1[[#This Row],[II Muudatus]]</f>
        <v>21426.83</v>
      </c>
    </row>
    <row r="302" spans="1:21" ht="14.25" hidden="1" customHeight="1" x14ac:dyDescent="0.25">
      <c r="A302" s="41" t="s">
        <v>1010</v>
      </c>
      <c r="B302" s="41">
        <v>2040</v>
      </c>
      <c r="C302" s="52">
        <v>5002</v>
      </c>
      <c r="D302" s="52" t="str">
        <f>LEFT(Table1[[#This Row],[Eelarvekonto]],2)</f>
        <v>50</v>
      </c>
      <c r="E302" s="41" t="str">
        <f>VLOOKUP(Table1[[#This Row],[Eelarvekonto]],Table5[[Konto]:[Konto nimetus]],2,FALSE)</f>
        <v>Töötajate töötasud</v>
      </c>
      <c r="F302" s="41" t="s">
        <v>139</v>
      </c>
      <c r="G302" s="41" t="s">
        <v>24</v>
      </c>
      <c r="J302" s="41" t="s">
        <v>280</v>
      </c>
      <c r="K302" s="41" t="s">
        <v>109</v>
      </c>
      <c r="L302" s="58" t="s">
        <v>279</v>
      </c>
      <c r="M302" s="58" t="str">
        <f>LEFT(Table1[[#This Row],[Tegevusala kood]],2)</f>
        <v>09</v>
      </c>
      <c r="N302" s="41" t="str">
        <f>VLOOKUP(Table1[[#This Row],[Tegevusala kood]],Table4[[Tegevusala kood]:[Tegevusala alanimetus]],2,FALSE)</f>
        <v>Laekvere Kool</v>
      </c>
      <c r="O302" s="41" t="s">
        <v>1</v>
      </c>
      <c r="P302" s="41" t="s">
        <v>1</v>
      </c>
      <c r="Q302" s="41" t="str">
        <f>VLOOKUP(Table1[[#This Row],[Eelarvekonto]],Table5[[Konto]:[Kontode alanimetus]],5,FALSE)</f>
        <v>Tööjõukulud</v>
      </c>
      <c r="R302" s="42" t="str">
        <f>VLOOKUP(Table1[[#This Row],[Tegevusala kood]],Table4[[Tegevusala kood]:[Tegevusala alanimetus]],4,FALSE)</f>
        <v>Põhihariduse otsekulud</v>
      </c>
      <c r="S302" s="60"/>
      <c r="T302" s="53"/>
      <c r="U302" s="53">
        <f>Table1[[#This Row],[Summa]]+Table1[[#This Row],[I Muudatus]]+Table1[[#This Row],[II Muudatus]]</f>
        <v>2040</v>
      </c>
    </row>
    <row r="303" spans="1:21" ht="14.25" hidden="1" customHeight="1" x14ac:dyDescent="0.25">
      <c r="A303" s="41" t="s">
        <v>469</v>
      </c>
      <c r="B303" s="41">
        <v>7848</v>
      </c>
      <c r="C303" s="52">
        <v>5002</v>
      </c>
      <c r="D303" s="52" t="str">
        <f>LEFT(Table1[[#This Row],[Eelarvekonto]],2)</f>
        <v>50</v>
      </c>
      <c r="E303" s="41" t="str">
        <f>VLOOKUP(Table1[[#This Row],[Eelarvekonto]],Table5[[Konto]:[Konto nimetus]],2,FALSE)</f>
        <v>Töötajate töötasud</v>
      </c>
      <c r="F303" s="41" t="s">
        <v>139</v>
      </c>
      <c r="G303" s="41" t="s">
        <v>24</v>
      </c>
      <c r="J303" s="41" t="s">
        <v>280</v>
      </c>
      <c r="K303" s="41" t="s">
        <v>109</v>
      </c>
      <c r="L303" s="58" t="s">
        <v>279</v>
      </c>
      <c r="M303" s="58" t="str">
        <f>LEFT(Table1[[#This Row],[Tegevusala kood]],2)</f>
        <v>09</v>
      </c>
      <c r="N303" s="41" t="str">
        <f>VLOOKUP(Table1[[#This Row],[Tegevusala kood]],Table4[[Tegevusala kood]:[Tegevusala alanimetus]],2,FALSE)</f>
        <v>Laekvere Kool</v>
      </c>
      <c r="O303" s="41" t="s">
        <v>1</v>
      </c>
      <c r="P303" s="41" t="s">
        <v>1</v>
      </c>
      <c r="Q303" s="41" t="str">
        <f>VLOOKUP(Table1[[#This Row],[Eelarvekonto]],Table5[[Konto]:[Kontode alanimetus]],5,FALSE)</f>
        <v>Tööjõukulud</v>
      </c>
      <c r="R303" s="42" t="str">
        <f>VLOOKUP(Table1[[#This Row],[Tegevusala kood]],Table4[[Tegevusala kood]:[Tegevusala alanimetus]],4,FALSE)</f>
        <v>Põhihariduse otsekulud</v>
      </c>
      <c r="S303" s="53"/>
      <c r="T303" s="53"/>
      <c r="U303" s="53">
        <f>Table1[[#This Row],[Summa]]+Table1[[#This Row],[I Muudatus]]+Table1[[#This Row],[II Muudatus]]</f>
        <v>7848</v>
      </c>
    </row>
    <row r="304" spans="1:21" ht="14.25" hidden="1" customHeight="1" x14ac:dyDescent="0.25">
      <c r="A304" s="41" t="s">
        <v>470</v>
      </c>
      <c r="B304" s="41">
        <v>7824</v>
      </c>
      <c r="C304" s="52">
        <v>5002</v>
      </c>
      <c r="D304" s="52" t="str">
        <f>LEFT(Table1[[#This Row],[Eelarvekonto]],2)</f>
        <v>50</v>
      </c>
      <c r="E304" s="41" t="str">
        <f>VLOOKUP(Table1[[#This Row],[Eelarvekonto]],Table5[[Konto]:[Konto nimetus]],2,FALSE)</f>
        <v>Töötajate töötasud</v>
      </c>
      <c r="F304" s="41" t="s">
        <v>139</v>
      </c>
      <c r="G304" s="41" t="s">
        <v>24</v>
      </c>
      <c r="J304" s="41" t="s">
        <v>296</v>
      </c>
      <c r="K304" s="41" t="s">
        <v>294</v>
      </c>
      <c r="L304" s="58" t="s">
        <v>295</v>
      </c>
      <c r="M304" s="58" t="str">
        <f>LEFT(Table1[[#This Row],[Tegevusala kood]],2)</f>
        <v>09</v>
      </c>
      <c r="N304" s="41" t="str">
        <f>VLOOKUP(Table1[[#This Row],[Tegevusala kood]],Table4[[Tegevusala kood]:[Tegevusala alanimetus]],2,FALSE)</f>
        <v>Kulina Lasteaed</v>
      </c>
      <c r="O304" s="41" t="s">
        <v>1</v>
      </c>
      <c r="P304" s="41" t="s">
        <v>1</v>
      </c>
      <c r="Q304" s="41" t="str">
        <f>VLOOKUP(Table1[[#This Row],[Eelarvekonto]],Table5[[Konto]:[Kontode alanimetus]],5,FALSE)</f>
        <v>Tööjõukulud</v>
      </c>
      <c r="R304" s="42" t="str">
        <f>VLOOKUP(Table1[[#This Row],[Tegevusala kood]],Table4[[Tegevusala kood]:[Tegevusala alanimetus]],4,FALSE)</f>
        <v>Alusharidus</v>
      </c>
      <c r="S304" s="53"/>
      <c r="T304" s="53"/>
      <c r="U304" s="53">
        <f>Table1[[#This Row],[Summa]]+Table1[[#This Row],[I Muudatus]]+Table1[[#This Row],[II Muudatus]]</f>
        <v>7824</v>
      </c>
    </row>
    <row r="305" spans="1:21" ht="14.25" hidden="1" customHeight="1" x14ac:dyDescent="0.25">
      <c r="A305" s="41" t="s">
        <v>551</v>
      </c>
      <c r="B305" s="41">
        <v>7890</v>
      </c>
      <c r="C305" s="52">
        <v>5002</v>
      </c>
      <c r="D305" s="52" t="str">
        <f>LEFT(Table1[[#This Row],[Eelarvekonto]],2)</f>
        <v>50</v>
      </c>
      <c r="E305" s="41" t="str">
        <f>VLOOKUP(Table1[[#This Row],[Eelarvekonto]],Table5[[Konto]:[Konto nimetus]],2,FALSE)</f>
        <v>Töötajate töötasud</v>
      </c>
      <c r="F305" s="41" t="s">
        <v>139</v>
      </c>
      <c r="G305" s="41" t="s">
        <v>24</v>
      </c>
      <c r="J305" s="41" t="s">
        <v>280</v>
      </c>
      <c r="K305" s="41" t="s">
        <v>109</v>
      </c>
      <c r="L305" s="58" t="s">
        <v>279</v>
      </c>
      <c r="M305" s="58" t="str">
        <f>LEFT(Table1[[#This Row],[Tegevusala kood]],2)</f>
        <v>09</v>
      </c>
      <c r="N305" s="41" t="str">
        <f>VLOOKUP(Table1[[#This Row],[Tegevusala kood]],Table4[[Tegevusala kood]:[Tegevusala alanimetus]],2,FALSE)</f>
        <v>Laekvere Kool</v>
      </c>
      <c r="O305" s="41" t="s">
        <v>1</v>
      </c>
      <c r="P305" s="41" t="s">
        <v>1</v>
      </c>
      <c r="Q305" s="41" t="str">
        <f>VLOOKUP(Table1[[#This Row],[Eelarvekonto]],Table5[[Konto]:[Kontode alanimetus]],5,FALSE)</f>
        <v>Tööjõukulud</v>
      </c>
      <c r="R305" s="42" t="str">
        <f>VLOOKUP(Table1[[#This Row],[Tegevusala kood]],Table4[[Tegevusala kood]:[Tegevusala alanimetus]],4,FALSE)</f>
        <v>Põhihariduse otsekulud</v>
      </c>
      <c r="S305" s="53"/>
      <c r="T305" s="53"/>
      <c r="U305" s="53">
        <f>Table1[[#This Row],[Summa]]+Table1[[#This Row],[I Muudatus]]+Table1[[#This Row],[II Muudatus]]</f>
        <v>7890</v>
      </c>
    </row>
    <row r="306" spans="1:21" ht="14.25" hidden="1" customHeight="1" x14ac:dyDescent="0.25">
      <c r="A306" s="41" t="s">
        <v>469</v>
      </c>
      <c r="B306" s="41">
        <v>7848</v>
      </c>
      <c r="C306" s="52">
        <v>5002</v>
      </c>
      <c r="D306" s="52" t="str">
        <f>LEFT(Table1[[#This Row],[Eelarvekonto]],2)</f>
        <v>50</v>
      </c>
      <c r="E306" s="41" t="str">
        <f>VLOOKUP(Table1[[#This Row],[Eelarvekonto]],Table5[[Konto]:[Konto nimetus]],2,FALSE)</f>
        <v>Töötajate töötasud</v>
      </c>
      <c r="F306" s="41" t="s">
        <v>139</v>
      </c>
      <c r="G306" s="41" t="s">
        <v>24</v>
      </c>
      <c r="J306" s="41" t="s">
        <v>280</v>
      </c>
      <c r="K306" s="41" t="s">
        <v>109</v>
      </c>
      <c r="L306" s="58" t="s">
        <v>279</v>
      </c>
      <c r="M306" s="58" t="str">
        <f>LEFT(Table1[[#This Row],[Tegevusala kood]],2)</f>
        <v>09</v>
      </c>
      <c r="N306" s="41" t="str">
        <f>VLOOKUP(Table1[[#This Row],[Tegevusala kood]],Table4[[Tegevusala kood]:[Tegevusala alanimetus]],2,FALSE)</f>
        <v>Laekvere Kool</v>
      </c>
      <c r="O306" s="41" t="s">
        <v>1</v>
      </c>
      <c r="P306" s="41" t="s">
        <v>1</v>
      </c>
      <c r="Q306" s="41" t="str">
        <f>VLOOKUP(Table1[[#This Row],[Eelarvekonto]],Table5[[Konto]:[Kontode alanimetus]],5,FALSE)</f>
        <v>Tööjõukulud</v>
      </c>
      <c r="R306" s="42" t="str">
        <f>VLOOKUP(Table1[[#This Row],[Tegevusala kood]],Table4[[Tegevusala kood]:[Tegevusala alanimetus]],4,FALSE)</f>
        <v>Põhihariduse otsekulud</v>
      </c>
      <c r="S306" s="53"/>
      <c r="T306" s="53"/>
      <c r="U306" s="53">
        <f>Table1[[#This Row],[Summa]]+Table1[[#This Row],[I Muudatus]]+Table1[[#This Row],[II Muudatus]]</f>
        <v>7848</v>
      </c>
    </row>
    <row r="307" spans="1:21" ht="14.25" hidden="1" customHeight="1" x14ac:dyDescent="0.25">
      <c r="A307" s="41" t="s">
        <v>461</v>
      </c>
      <c r="B307" s="41">
        <v>9660</v>
      </c>
      <c r="C307" s="52">
        <v>5002</v>
      </c>
      <c r="D307" s="52" t="str">
        <f>LEFT(Table1[[#This Row],[Eelarvekonto]],2)</f>
        <v>50</v>
      </c>
      <c r="E307" s="41" t="str">
        <f>VLOOKUP(Table1[[#This Row],[Eelarvekonto]],Table5[[Konto]:[Konto nimetus]],2,FALSE)</f>
        <v>Töötajate töötasud</v>
      </c>
      <c r="F307" s="41" t="s">
        <v>139</v>
      </c>
      <c r="G307" s="41" t="s">
        <v>24</v>
      </c>
      <c r="J307" s="41" t="s">
        <v>280</v>
      </c>
      <c r="K307" s="41" t="s">
        <v>109</v>
      </c>
      <c r="L307" s="58" t="s">
        <v>279</v>
      </c>
      <c r="M307" s="58" t="str">
        <f>LEFT(Table1[[#This Row],[Tegevusala kood]],2)</f>
        <v>09</v>
      </c>
      <c r="N307" s="41" t="str">
        <f>VLOOKUP(Table1[[#This Row],[Tegevusala kood]],Table4[[Tegevusala kood]:[Tegevusala alanimetus]],2,FALSE)</f>
        <v>Laekvere Kool</v>
      </c>
      <c r="O307" s="41" t="s">
        <v>1</v>
      </c>
      <c r="P307" s="41" t="s">
        <v>1</v>
      </c>
      <c r="Q307" s="41" t="str">
        <f>VLOOKUP(Table1[[#This Row],[Eelarvekonto]],Table5[[Konto]:[Kontode alanimetus]],5,FALSE)</f>
        <v>Tööjõukulud</v>
      </c>
      <c r="R307" s="42" t="str">
        <f>VLOOKUP(Table1[[#This Row],[Tegevusala kood]],Table4[[Tegevusala kood]:[Tegevusala alanimetus]],4,FALSE)</f>
        <v>Põhihariduse otsekulud</v>
      </c>
      <c r="S307" s="53"/>
      <c r="T307" s="53"/>
      <c r="U307" s="53">
        <f>Table1[[#This Row],[Summa]]+Table1[[#This Row],[I Muudatus]]+Table1[[#This Row],[II Muudatus]]</f>
        <v>9660</v>
      </c>
    </row>
    <row r="308" spans="1:21" ht="14.25" hidden="1" customHeight="1" x14ac:dyDescent="0.25">
      <c r="A308" s="68" t="s">
        <v>1526</v>
      </c>
      <c r="B308" s="41">
        <v>11835</v>
      </c>
      <c r="C308" s="52">
        <v>5002</v>
      </c>
      <c r="D308" s="52" t="str">
        <f>LEFT(Table1[[#This Row],[Eelarvekonto]],2)</f>
        <v>50</v>
      </c>
      <c r="E308" s="41" t="str">
        <f>VLOOKUP(Table1[[#This Row],[Eelarvekonto]],Table5[[Konto]:[Konto nimetus]],2,FALSE)</f>
        <v>Töötajate töötasud</v>
      </c>
      <c r="F308" s="41" t="s">
        <v>139</v>
      </c>
      <c r="G308" s="41" t="s">
        <v>24</v>
      </c>
      <c r="J308" s="41" t="s">
        <v>280</v>
      </c>
      <c r="K308" s="41" t="s">
        <v>109</v>
      </c>
      <c r="L308" s="58" t="s">
        <v>279</v>
      </c>
      <c r="M308" s="58" t="str">
        <f>LEFT(Table1[[#This Row],[Tegevusala kood]],2)</f>
        <v>09</v>
      </c>
      <c r="N308" s="41" t="str">
        <f>VLOOKUP(Table1[[#This Row],[Tegevusala kood]],Table4[[Tegevusala kood]:[Tegevusala alanimetus]],2,FALSE)</f>
        <v>Laekvere Kool</v>
      </c>
      <c r="O308" s="41" t="s">
        <v>1</v>
      </c>
      <c r="P308" s="41" t="s">
        <v>1</v>
      </c>
      <c r="Q308" s="41" t="str">
        <f>VLOOKUP(Table1[[#This Row],[Eelarvekonto]],Table5[[Konto]:[Kontode alanimetus]],5,FALSE)</f>
        <v>Tööjõukulud</v>
      </c>
      <c r="R308" s="42" t="str">
        <f>VLOOKUP(Table1[[#This Row],[Tegevusala kood]],Table4[[Tegevusala kood]:[Tegevusala alanimetus]],4,FALSE)</f>
        <v>Põhihariduse otsekulud</v>
      </c>
      <c r="S308" s="53"/>
      <c r="T308" s="53"/>
      <c r="U308" s="53">
        <f>Table1[[#This Row],[Summa]]+Table1[[#This Row],[I Muudatus]]+Table1[[#This Row],[II Muudatus]]</f>
        <v>11835</v>
      </c>
    </row>
    <row r="309" spans="1:21" ht="14.25" hidden="1" customHeight="1" x14ac:dyDescent="0.25">
      <c r="A309" s="41" t="s">
        <v>149</v>
      </c>
      <c r="B309" s="41">
        <v>5640</v>
      </c>
      <c r="C309" s="52">
        <v>551101</v>
      </c>
      <c r="D309" s="52" t="str">
        <f>LEFT(Table1[[#This Row],[Eelarvekonto]],2)</f>
        <v>55</v>
      </c>
      <c r="E309" s="41" t="str">
        <f>VLOOKUP(Table1[[#This Row],[Eelarvekonto]],Table5[[Konto]:[Konto nimetus]],2,FALSE)</f>
        <v>Elekter</v>
      </c>
      <c r="F309" s="41" t="s">
        <v>139</v>
      </c>
      <c r="G309" s="41" t="s">
        <v>24</v>
      </c>
      <c r="J309" s="41" t="s">
        <v>280</v>
      </c>
      <c r="K309" s="41" t="s">
        <v>109</v>
      </c>
      <c r="L309" s="58" t="s">
        <v>279</v>
      </c>
      <c r="M309" s="58" t="str">
        <f>LEFT(Table1[[#This Row],[Tegevusala kood]],2)</f>
        <v>09</v>
      </c>
      <c r="N309" s="41" t="str">
        <f>VLOOKUP(Table1[[#This Row],[Tegevusala kood]],Table4[[Tegevusala kood]:[Tegevusala alanimetus]],2,FALSE)</f>
        <v>Laekvere Kool</v>
      </c>
      <c r="O309" s="41" t="s">
        <v>1</v>
      </c>
      <c r="P309" s="41" t="s">
        <v>1</v>
      </c>
      <c r="Q309" s="41" t="str">
        <f>VLOOKUP(Table1[[#This Row],[Eelarvekonto]],Table5[[Konto]:[Kontode alanimetus]],5,FALSE)</f>
        <v>Majandamiskulud</v>
      </c>
      <c r="R309" s="42" t="str">
        <f>VLOOKUP(Table1[[#This Row],[Tegevusala kood]],Table4[[Tegevusala kood]:[Tegevusala alanimetus]],4,FALSE)</f>
        <v>Põhihariduse otsekulud</v>
      </c>
      <c r="S309" s="53"/>
      <c r="T309" s="53"/>
      <c r="U309" s="53">
        <f>Table1[[#This Row],[Summa]]+Table1[[#This Row],[I Muudatus]]+Table1[[#This Row],[II Muudatus]]</f>
        <v>5640</v>
      </c>
    </row>
    <row r="310" spans="1:21" ht="14.25" hidden="1" customHeight="1" x14ac:dyDescent="0.25">
      <c r="A310" s="41" t="s">
        <v>148</v>
      </c>
      <c r="B310" s="41">
        <v>18000</v>
      </c>
      <c r="C310" s="52">
        <v>551100</v>
      </c>
      <c r="D310" s="52" t="str">
        <f>LEFT(Table1[[#This Row],[Eelarvekonto]],2)</f>
        <v>55</v>
      </c>
      <c r="E310" s="41" t="str">
        <f>VLOOKUP(Table1[[#This Row],[Eelarvekonto]],Table5[[Konto]:[Konto nimetus]],2,FALSE)</f>
        <v>Küte ja soojusenergia</v>
      </c>
      <c r="F310" s="41" t="s">
        <v>139</v>
      </c>
      <c r="G310" s="41" t="s">
        <v>24</v>
      </c>
      <c r="J310" s="41" t="s">
        <v>280</v>
      </c>
      <c r="K310" s="41" t="s">
        <v>109</v>
      </c>
      <c r="L310" s="58" t="s">
        <v>279</v>
      </c>
      <c r="M310" s="58" t="str">
        <f>LEFT(Table1[[#This Row],[Tegevusala kood]],2)</f>
        <v>09</v>
      </c>
      <c r="N310" s="41" t="str">
        <f>VLOOKUP(Table1[[#This Row],[Tegevusala kood]],Table4[[Tegevusala kood]:[Tegevusala alanimetus]],2,FALSE)</f>
        <v>Laekvere Kool</v>
      </c>
      <c r="O310" s="41" t="s">
        <v>1</v>
      </c>
      <c r="P310" s="41" t="s">
        <v>1</v>
      </c>
      <c r="Q310" s="41" t="str">
        <f>VLOOKUP(Table1[[#This Row],[Eelarvekonto]],Table5[[Konto]:[Kontode alanimetus]],5,FALSE)</f>
        <v>Majandamiskulud</v>
      </c>
      <c r="R310" s="42" t="str">
        <f>VLOOKUP(Table1[[#This Row],[Tegevusala kood]],Table4[[Tegevusala kood]:[Tegevusala alanimetus]],4,FALSE)</f>
        <v>Põhihariduse otsekulud</v>
      </c>
      <c r="S310" s="53"/>
      <c r="T310" s="53"/>
      <c r="U310" s="53">
        <f>Table1[[#This Row],[Summa]]+Table1[[#This Row],[I Muudatus]]+Table1[[#This Row],[II Muudatus]]</f>
        <v>18000</v>
      </c>
    </row>
    <row r="311" spans="1:21" ht="14.25" hidden="1" customHeight="1" x14ac:dyDescent="0.25">
      <c r="A311" s="41" t="s">
        <v>550</v>
      </c>
      <c r="B311" s="41">
        <v>360</v>
      </c>
      <c r="C311" s="52">
        <v>5514</v>
      </c>
      <c r="D311" s="52" t="str">
        <f>LEFT(Table1[[#This Row],[Eelarvekonto]],2)</f>
        <v>55</v>
      </c>
      <c r="E311" s="41" t="str">
        <f>VLOOKUP(Table1[[#This Row],[Eelarvekonto]],Table5[[Konto]:[Konto nimetus]],2,FALSE)</f>
        <v>Info- ja kommunikatsioonitehnoloogia kulud</v>
      </c>
      <c r="F311" s="41" t="s">
        <v>139</v>
      </c>
      <c r="G311" s="41" t="s">
        <v>24</v>
      </c>
      <c r="J311" s="41" t="s">
        <v>280</v>
      </c>
      <c r="K311" s="41" t="s">
        <v>109</v>
      </c>
      <c r="L311" s="58" t="s">
        <v>279</v>
      </c>
      <c r="M311" s="58" t="str">
        <f>LEFT(Table1[[#This Row],[Tegevusala kood]],2)</f>
        <v>09</v>
      </c>
      <c r="N311" s="41" t="str">
        <f>VLOOKUP(Table1[[#This Row],[Tegevusala kood]],Table4[[Tegevusala kood]:[Tegevusala alanimetus]],2,FALSE)</f>
        <v>Laekvere Kool</v>
      </c>
      <c r="O311" s="41" t="s">
        <v>1</v>
      </c>
      <c r="P311" s="41" t="s">
        <v>1</v>
      </c>
      <c r="Q311" s="41" t="str">
        <f>VLOOKUP(Table1[[#This Row],[Eelarvekonto]],Table5[[Konto]:[Kontode alanimetus]],5,FALSE)</f>
        <v>Majandamiskulud</v>
      </c>
      <c r="R311" s="42" t="str">
        <f>VLOOKUP(Table1[[#This Row],[Tegevusala kood]],Table4[[Tegevusala kood]:[Tegevusala alanimetus]],4,FALSE)</f>
        <v>Põhihariduse otsekulud</v>
      </c>
      <c r="S311" s="53"/>
      <c r="T311" s="53"/>
      <c r="U311" s="53">
        <f>Table1[[#This Row],[Summa]]+Table1[[#This Row],[I Muudatus]]+Table1[[#This Row],[II Muudatus]]</f>
        <v>360</v>
      </c>
    </row>
    <row r="312" spans="1:21" ht="14.25" hidden="1" customHeight="1" x14ac:dyDescent="0.25">
      <c r="A312" s="41" t="s">
        <v>150</v>
      </c>
      <c r="B312" s="41">
        <v>1870</v>
      </c>
      <c r="C312" s="52">
        <v>551102</v>
      </c>
      <c r="D312" s="52" t="str">
        <f>LEFT(Table1[[#This Row],[Eelarvekonto]],2)</f>
        <v>55</v>
      </c>
      <c r="E312" s="41" t="str">
        <f>VLOOKUP(Table1[[#This Row],[Eelarvekonto]],Table5[[Konto]:[Konto nimetus]],2,FALSE)</f>
        <v>Vesi ja kanalisatsioon</v>
      </c>
      <c r="F312" s="41" t="s">
        <v>139</v>
      </c>
      <c r="G312" s="41" t="s">
        <v>24</v>
      </c>
      <c r="J312" s="41" t="s">
        <v>280</v>
      </c>
      <c r="K312" s="41" t="s">
        <v>109</v>
      </c>
      <c r="L312" s="58" t="s">
        <v>279</v>
      </c>
      <c r="M312" s="58" t="str">
        <f>LEFT(Table1[[#This Row],[Tegevusala kood]],2)</f>
        <v>09</v>
      </c>
      <c r="N312" s="41" t="str">
        <f>VLOOKUP(Table1[[#This Row],[Tegevusala kood]],Table4[[Tegevusala kood]:[Tegevusala alanimetus]],2,FALSE)</f>
        <v>Laekvere Kool</v>
      </c>
      <c r="O312" s="41" t="s">
        <v>1</v>
      </c>
      <c r="P312" s="41" t="s">
        <v>1</v>
      </c>
      <c r="Q312" s="41" t="str">
        <f>VLOOKUP(Table1[[#This Row],[Eelarvekonto]],Table5[[Konto]:[Kontode alanimetus]],5,FALSE)</f>
        <v>Majandamiskulud</v>
      </c>
      <c r="R312" s="42" t="str">
        <f>VLOOKUP(Table1[[#This Row],[Tegevusala kood]],Table4[[Tegevusala kood]:[Tegevusala alanimetus]],4,FALSE)</f>
        <v>Põhihariduse otsekulud</v>
      </c>
      <c r="S312" s="53"/>
      <c r="T312" s="53"/>
      <c r="U312" s="53">
        <f>Table1[[#This Row],[Summa]]+Table1[[#This Row],[I Muudatus]]+Table1[[#This Row],[II Muudatus]]</f>
        <v>1870</v>
      </c>
    </row>
    <row r="313" spans="1:21" ht="14.25" hidden="1" customHeight="1" x14ac:dyDescent="0.25">
      <c r="A313" s="41" t="s">
        <v>549</v>
      </c>
      <c r="B313" s="41">
        <v>345.6</v>
      </c>
      <c r="C313" s="52">
        <v>5511</v>
      </c>
      <c r="D313" s="52" t="str">
        <f>LEFT(Table1[[#This Row],[Eelarvekonto]],2)</f>
        <v>55</v>
      </c>
      <c r="E313" s="41" t="str">
        <f>VLOOKUP(Table1[[#This Row],[Eelarvekonto]],Table5[[Konto]:[Konto nimetus]],2,FALSE)</f>
        <v>Kinnistute, hoonete ja ruumide majandamiskulud</v>
      </c>
      <c r="F313" s="41" t="s">
        <v>139</v>
      </c>
      <c r="G313" s="41" t="s">
        <v>24</v>
      </c>
      <c r="J313" s="41" t="s">
        <v>280</v>
      </c>
      <c r="K313" s="41" t="s">
        <v>109</v>
      </c>
      <c r="L313" s="58" t="s">
        <v>279</v>
      </c>
      <c r="M313" s="58" t="str">
        <f>LEFT(Table1[[#This Row],[Tegevusala kood]],2)</f>
        <v>09</v>
      </c>
      <c r="N313" s="41" t="str">
        <f>VLOOKUP(Table1[[#This Row],[Tegevusala kood]],Table4[[Tegevusala kood]:[Tegevusala alanimetus]],2,FALSE)</f>
        <v>Laekvere Kool</v>
      </c>
      <c r="O313" s="41" t="s">
        <v>1</v>
      </c>
      <c r="P313" s="41" t="s">
        <v>1</v>
      </c>
      <c r="Q313" s="41" t="str">
        <f>VLOOKUP(Table1[[#This Row],[Eelarvekonto]],Table5[[Konto]:[Kontode alanimetus]],5,FALSE)</f>
        <v>Majandamiskulud</v>
      </c>
      <c r="R313" s="42" t="str">
        <f>VLOOKUP(Table1[[#This Row],[Tegevusala kood]],Table4[[Tegevusala kood]:[Tegevusala alanimetus]],4,FALSE)</f>
        <v>Põhihariduse otsekulud</v>
      </c>
      <c r="S313" s="53"/>
      <c r="T313" s="53"/>
      <c r="U313" s="53">
        <f>Table1[[#This Row],[Summa]]+Table1[[#This Row],[I Muudatus]]+Table1[[#This Row],[II Muudatus]]</f>
        <v>345.6</v>
      </c>
    </row>
    <row r="314" spans="1:21" ht="14.25" hidden="1" customHeight="1" x14ac:dyDescent="0.25">
      <c r="A314" s="41" t="s">
        <v>1056</v>
      </c>
      <c r="B314" s="41">
        <v>221.64</v>
      </c>
      <c r="C314" s="52">
        <v>5511</v>
      </c>
      <c r="D314" s="52" t="str">
        <f>LEFT(Table1[[#This Row],[Eelarvekonto]],2)</f>
        <v>55</v>
      </c>
      <c r="E314" s="41" t="str">
        <f>VLOOKUP(Table1[[#This Row],[Eelarvekonto]],Table5[[Konto]:[Konto nimetus]],2,FALSE)</f>
        <v>Kinnistute, hoonete ja ruumide majandamiskulud</v>
      </c>
      <c r="F314" s="41" t="s">
        <v>139</v>
      </c>
      <c r="G314" s="41" t="s">
        <v>24</v>
      </c>
      <c r="J314" s="41" t="s">
        <v>280</v>
      </c>
      <c r="K314" s="41" t="s">
        <v>109</v>
      </c>
      <c r="L314" s="58" t="s">
        <v>279</v>
      </c>
      <c r="M314" s="58" t="str">
        <f>LEFT(Table1[[#This Row],[Tegevusala kood]],2)</f>
        <v>09</v>
      </c>
      <c r="N314" s="41" t="str">
        <f>VLOOKUP(Table1[[#This Row],[Tegevusala kood]],Table4[[Tegevusala kood]:[Tegevusala alanimetus]],2,FALSE)</f>
        <v>Laekvere Kool</v>
      </c>
      <c r="O314" s="41" t="s">
        <v>1</v>
      </c>
      <c r="P314" s="41" t="s">
        <v>1</v>
      </c>
      <c r="Q314" s="41" t="str">
        <f>VLOOKUP(Table1[[#This Row],[Eelarvekonto]],Table5[[Konto]:[Kontode alanimetus]],5,FALSE)</f>
        <v>Majandamiskulud</v>
      </c>
      <c r="R314" s="42" t="str">
        <f>VLOOKUP(Table1[[#This Row],[Tegevusala kood]],Table4[[Tegevusala kood]:[Tegevusala alanimetus]],4,FALSE)</f>
        <v>Põhihariduse otsekulud</v>
      </c>
      <c r="S314" s="53"/>
      <c r="T314" s="53"/>
      <c r="U314" s="53">
        <f>Table1[[#This Row],[Summa]]+Table1[[#This Row],[I Muudatus]]+Table1[[#This Row],[II Muudatus]]</f>
        <v>221.64</v>
      </c>
    </row>
    <row r="315" spans="1:21" ht="14.25" hidden="1" customHeight="1" x14ac:dyDescent="0.25">
      <c r="A315" s="41" t="s">
        <v>172</v>
      </c>
      <c r="B315" s="41">
        <v>102.64</v>
      </c>
      <c r="C315" s="52">
        <v>5511</v>
      </c>
      <c r="D315" s="52" t="str">
        <f>LEFT(Table1[[#This Row],[Eelarvekonto]],2)</f>
        <v>55</v>
      </c>
      <c r="E315" s="41" t="str">
        <f>VLOOKUP(Table1[[#This Row],[Eelarvekonto]],Table5[[Konto]:[Konto nimetus]],2,FALSE)</f>
        <v>Kinnistute, hoonete ja ruumide majandamiskulud</v>
      </c>
      <c r="F315" s="41" t="s">
        <v>139</v>
      </c>
      <c r="G315" s="41" t="s">
        <v>24</v>
      </c>
      <c r="J315" s="41" t="s">
        <v>280</v>
      </c>
      <c r="K315" s="41" t="s">
        <v>109</v>
      </c>
      <c r="L315" s="58" t="s">
        <v>279</v>
      </c>
      <c r="M315" s="58" t="str">
        <f>LEFT(Table1[[#This Row],[Tegevusala kood]],2)</f>
        <v>09</v>
      </c>
      <c r="N315" s="41" t="str">
        <f>VLOOKUP(Table1[[#This Row],[Tegevusala kood]],Table4[[Tegevusala kood]:[Tegevusala alanimetus]],2,FALSE)</f>
        <v>Laekvere Kool</v>
      </c>
      <c r="O315" s="41" t="s">
        <v>1</v>
      </c>
      <c r="P315" s="41" t="s">
        <v>1</v>
      </c>
      <c r="Q315" s="41" t="str">
        <f>VLOOKUP(Table1[[#This Row],[Eelarvekonto]],Table5[[Konto]:[Kontode alanimetus]],5,FALSE)</f>
        <v>Majandamiskulud</v>
      </c>
      <c r="R315" s="42" t="str">
        <f>VLOOKUP(Table1[[#This Row],[Tegevusala kood]],Table4[[Tegevusala kood]:[Tegevusala alanimetus]],4,FALSE)</f>
        <v>Põhihariduse otsekulud</v>
      </c>
      <c r="S315" s="53"/>
      <c r="T315" s="53"/>
      <c r="U315" s="53">
        <f>Table1[[#This Row],[Summa]]+Table1[[#This Row],[I Muudatus]]+Table1[[#This Row],[II Muudatus]]</f>
        <v>102.64</v>
      </c>
    </row>
    <row r="316" spans="1:21" ht="14.25" hidden="1" customHeight="1" x14ac:dyDescent="0.25">
      <c r="A316" s="41" t="s">
        <v>548</v>
      </c>
      <c r="B316" s="41">
        <v>720</v>
      </c>
      <c r="C316" s="52">
        <v>5514</v>
      </c>
      <c r="D316" s="52" t="str">
        <f>LEFT(Table1[[#This Row],[Eelarvekonto]],2)</f>
        <v>55</v>
      </c>
      <c r="E316" s="41" t="str">
        <f>VLOOKUP(Table1[[#This Row],[Eelarvekonto]],Table5[[Konto]:[Konto nimetus]],2,FALSE)</f>
        <v>Info- ja kommunikatsioonitehnoloogia kulud</v>
      </c>
      <c r="F316" s="41" t="s">
        <v>139</v>
      </c>
      <c r="G316" s="41" t="s">
        <v>24</v>
      </c>
      <c r="J316" s="41" t="s">
        <v>280</v>
      </c>
      <c r="K316" s="41" t="s">
        <v>109</v>
      </c>
      <c r="L316" s="58" t="s">
        <v>279</v>
      </c>
      <c r="M316" s="58" t="str">
        <f>LEFT(Table1[[#This Row],[Tegevusala kood]],2)</f>
        <v>09</v>
      </c>
      <c r="N316" s="41" t="str">
        <f>VLOOKUP(Table1[[#This Row],[Tegevusala kood]],Table4[[Tegevusala kood]:[Tegevusala alanimetus]],2,FALSE)</f>
        <v>Laekvere Kool</v>
      </c>
      <c r="O316" s="41" t="s">
        <v>1</v>
      </c>
      <c r="P316" s="41" t="s">
        <v>1</v>
      </c>
      <c r="Q316" s="41" t="str">
        <f>VLOOKUP(Table1[[#This Row],[Eelarvekonto]],Table5[[Konto]:[Kontode alanimetus]],5,FALSE)</f>
        <v>Majandamiskulud</v>
      </c>
      <c r="R316" s="42" t="str">
        <f>VLOOKUP(Table1[[#This Row],[Tegevusala kood]],Table4[[Tegevusala kood]:[Tegevusala alanimetus]],4,FALSE)</f>
        <v>Põhihariduse otsekulud</v>
      </c>
      <c r="S316" s="53"/>
      <c r="T316" s="53"/>
      <c r="U316" s="53">
        <f>Table1[[#This Row],[Summa]]+Table1[[#This Row],[I Muudatus]]+Table1[[#This Row],[II Muudatus]]</f>
        <v>720</v>
      </c>
    </row>
    <row r="317" spans="1:21" ht="14.25" hidden="1" customHeight="1" x14ac:dyDescent="0.25">
      <c r="A317" s="41" t="s">
        <v>547</v>
      </c>
      <c r="B317" s="41">
        <v>360</v>
      </c>
      <c r="C317" s="52">
        <v>5511</v>
      </c>
      <c r="D317" s="52" t="str">
        <f>LEFT(Table1[[#This Row],[Eelarvekonto]],2)</f>
        <v>55</v>
      </c>
      <c r="E317" s="41" t="str">
        <f>VLOOKUP(Table1[[#This Row],[Eelarvekonto]],Table5[[Konto]:[Konto nimetus]],2,FALSE)</f>
        <v>Kinnistute, hoonete ja ruumide majandamiskulud</v>
      </c>
      <c r="F317" s="41" t="s">
        <v>139</v>
      </c>
      <c r="G317" s="41" t="s">
        <v>24</v>
      </c>
      <c r="J317" s="41" t="s">
        <v>280</v>
      </c>
      <c r="K317" s="41" t="s">
        <v>109</v>
      </c>
      <c r="L317" s="58" t="s">
        <v>279</v>
      </c>
      <c r="M317" s="58" t="str">
        <f>LEFT(Table1[[#This Row],[Tegevusala kood]],2)</f>
        <v>09</v>
      </c>
      <c r="N317" s="41" t="str">
        <f>VLOOKUP(Table1[[#This Row],[Tegevusala kood]],Table4[[Tegevusala kood]:[Tegevusala alanimetus]],2,FALSE)</f>
        <v>Laekvere Kool</v>
      </c>
      <c r="O317" s="41" t="s">
        <v>1</v>
      </c>
      <c r="P317" s="41" t="s">
        <v>1</v>
      </c>
      <c r="Q317" s="41" t="str">
        <f>VLOOKUP(Table1[[#This Row],[Eelarvekonto]],Table5[[Konto]:[Kontode alanimetus]],5,FALSE)</f>
        <v>Majandamiskulud</v>
      </c>
      <c r="R317" s="42" t="str">
        <f>VLOOKUP(Table1[[#This Row],[Tegevusala kood]],Table4[[Tegevusala kood]:[Tegevusala alanimetus]],4,FALSE)</f>
        <v>Põhihariduse otsekulud</v>
      </c>
      <c r="S317" s="53"/>
      <c r="T317" s="53"/>
      <c r="U317" s="53">
        <f>Table1[[#This Row],[Summa]]+Table1[[#This Row],[I Muudatus]]+Table1[[#This Row],[II Muudatus]]</f>
        <v>360</v>
      </c>
    </row>
    <row r="318" spans="1:21" ht="14.25" hidden="1" customHeight="1" x14ac:dyDescent="0.25">
      <c r="A318" s="41" t="s">
        <v>546</v>
      </c>
      <c r="B318" s="41">
        <v>114.48</v>
      </c>
      <c r="C318" s="52">
        <v>5500</v>
      </c>
      <c r="D318" s="52" t="str">
        <f>LEFT(Table1[[#This Row],[Eelarvekonto]],2)</f>
        <v>55</v>
      </c>
      <c r="E318" s="41" t="str">
        <f>VLOOKUP(Table1[[#This Row],[Eelarvekonto]],Table5[[Konto]:[Konto nimetus]],2,FALSE)</f>
        <v>Administreerimiskulud</v>
      </c>
      <c r="F318" s="41" t="s">
        <v>139</v>
      </c>
      <c r="G318" s="41" t="s">
        <v>24</v>
      </c>
      <c r="J318" s="41" t="s">
        <v>280</v>
      </c>
      <c r="K318" s="41" t="s">
        <v>109</v>
      </c>
      <c r="L318" s="58" t="s">
        <v>279</v>
      </c>
      <c r="M318" s="58" t="str">
        <f>LEFT(Table1[[#This Row],[Tegevusala kood]],2)</f>
        <v>09</v>
      </c>
      <c r="N318" s="41" t="str">
        <f>VLOOKUP(Table1[[#This Row],[Tegevusala kood]],Table4[[Tegevusala kood]:[Tegevusala alanimetus]],2,FALSE)</f>
        <v>Laekvere Kool</v>
      </c>
      <c r="O318" s="41" t="s">
        <v>1</v>
      </c>
      <c r="P318" s="41" t="s">
        <v>1</v>
      </c>
      <c r="Q318" s="41" t="str">
        <f>VLOOKUP(Table1[[#This Row],[Eelarvekonto]],Table5[[Konto]:[Kontode alanimetus]],5,FALSE)</f>
        <v>Majandamiskulud</v>
      </c>
      <c r="R318" s="42" t="str">
        <f>VLOOKUP(Table1[[#This Row],[Tegevusala kood]],Table4[[Tegevusala kood]:[Tegevusala alanimetus]],4,FALSE)</f>
        <v>Põhihariduse otsekulud</v>
      </c>
      <c r="S318" s="53"/>
      <c r="T318" s="53"/>
      <c r="U318" s="53">
        <f>Table1[[#This Row],[Summa]]+Table1[[#This Row],[I Muudatus]]+Table1[[#This Row],[II Muudatus]]</f>
        <v>114.48</v>
      </c>
    </row>
    <row r="319" spans="1:21" ht="14.25" hidden="1" customHeight="1" x14ac:dyDescent="0.25">
      <c r="A319" s="41" t="s">
        <v>462</v>
      </c>
      <c r="B319" s="41">
        <v>9144</v>
      </c>
      <c r="C319" s="52">
        <v>5002</v>
      </c>
      <c r="D319" s="52" t="str">
        <f>LEFT(Table1[[#This Row],[Eelarvekonto]],2)</f>
        <v>50</v>
      </c>
      <c r="E319" s="41" t="str">
        <f>VLOOKUP(Table1[[#This Row],[Eelarvekonto]],Table5[[Konto]:[Konto nimetus]],2,FALSE)</f>
        <v>Töötajate töötasud</v>
      </c>
      <c r="F319" s="41" t="s">
        <v>139</v>
      </c>
      <c r="G319" s="41" t="s">
        <v>24</v>
      </c>
      <c r="J319" s="41" t="s">
        <v>245</v>
      </c>
      <c r="K319" s="41" t="s">
        <v>244</v>
      </c>
      <c r="L319" s="58" t="s">
        <v>243</v>
      </c>
      <c r="M319" s="58" t="str">
        <f>LEFT(Table1[[#This Row],[Tegevusala kood]],2)</f>
        <v>08</v>
      </c>
      <c r="N319" s="41" t="str">
        <f>VLOOKUP(Table1[[#This Row],[Tegevusala kood]],Table4[[Tegevusala kood]:[Tegevusala alanimetus]],2,FALSE)</f>
        <v>Roela Raamatukogu</v>
      </c>
      <c r="O319" s="41" t="s">
        <v>1</v>
      </c>
      <c r="P319" s="41" t="s">
        <v>1</v>
      </c>
      <c r="Q319" s="41" t="str">
        <f>VLOOKUP(Table1[[#This Row],[Eelarvekonto]],Table5[[Konto]:[Kontode alanimetus]],5,FALSE)</f>
        <v>Tööjõukulud</v>
      </c>
      <c r="R319" s="42" t="str">
        <f>VLOOKUP(Table1[[#This Row],[Tegevusala kood]],Table4[[Tegevusala kood]:[Tegevusala alanimetus]],4,FALSE)</f>
        <v>Raamatukogud</v>
      </c>
      <c r="S319" s="53"/>
      <c r="T319" s="53"/>
      <c r="U319" s="53">
        <f>Table1[[#This Row],[Summa]]+Table1[[#This Row],[I Muudatus]]+Table1[[#This Row],[II Muudatus]]</f>
        <v>9144</v>
      </c>
    </row>
    <row r="320" spans="1:21" ht="14.25" hidden="1" customHeight="1" x14ac:dyDescent="0.25">
      <c r="A320" s="41" t="s">
        <v>158</v>
      </c>
      <c r="B320" s="41">
        <v>3090.67</v>
      </c>
      <c r="C320" s="52">
        <v>506</v>
      </c>
      <c r="D320" s="52" t="str">
        <f>LEFT(Table1[[#This Row],[Eelarvekonto]],2)</f>
        <v>50</v>
      </c>
      <c r="E320" s="41" t="str">
        <f>VLOOKUP(Table1[[#This Row],[Eelarvekonto]],Table5[[Konto]:[Konto nimetus]],2,FALSE)</f>
        <v>Tööjõukuludega kaasnevad maksud ja sotsiaalkindlustusmaksed</v>
      </c>
      <c r="F320" s="41" t="s">
        <v>139</v>
      </c>
      <c r="G320" s="41" t="s">
        <v>24</v>
      </c>
      <c r="J320" s="41" t="s">
        <v>245</v>
      </c>
      <c r="K320" s="41" t="s">
        <v>244</v>
      </c>
      <c r="L320" s="58" t="s">
        <v>243</v>
      </c>
      <c r="M320" s="58" t="str">
        <f>LEFT(Table1[[#This Row],[Tegevusala kood]],2)</f>
        <v>08</v>
      </c>
      <c r="N320" s="41" t="str">
        <f>VLOOKUP(Table1[[#This Row],[Tegevusala kood]],Table4[[Tegevusala kood]:[Tegevusala alanimetus]],2,FALSE)</f>
        <v>Roela Raamatukogu</v>
      </c>
      <c r="O320" s="41" t="s">
        <v>1</v>
      </c>
      <c r="P320" s="41" t="s">
        <v>1</v>
      </c>
      <c r="Q320" s="41" t="str">
        <f>VLOOKUP(Table1[[#This Row],[Eelarvekonto]],Table5[[Konto]:[Kontode alanimetus]],5,FALSE)</f>
        <v>Tööjõukulud</v>
      </c>
      <c r="R320" s="42" t="str">
        <f>VLOOKUP(Table1[[#This Row],[Tegevusala kood]],Table4[[Tegevusala kood]:[Tegevusala alanimetus]],4,FALSE)</f>
        <v>Raamatukogud</v>
      </c>
      <c r="S320" s="53"/>
      <c r="T320" s="53"/>
      <c r="U320" s="53">
        <f>Table1[[#This Row],[Summa]]+Table1[[#This Row],[I Muudatus]]+Table1[[#This Row],[II Muudatus]]</f>
        <v>3090.67</v>
      </c>
    </row>
    <row r="321" spans="1:21" ht="14.25" hidden="1" customHeight="1" x14ac:dyDescent="0.25">
      <c r="A321" s="41" t="s">
        <v>490</v>
      </c>
      <c r="B321" s="41">
        <v>240</v>
      </c>
      <c r="C321" s="52">
        <v>5514</v>
      </c>
      <c r="D321" s="52" t="str">
        <f>LEFT(Table1[[#This Row],[Eelarvekonto]],2)</f>
        <v>55</v>
      </c>
      <c r="E321" s="41" t="str">
        <f>VLOOKUP(Table1[[#This Row],[Eelarvekonto]],Table5[[Konto]:[Konto nimetus]],2,FALSE)</f>
        <v>Info- ja kommunikatsioonitehnoloogia kulud</v>
      </c>
      <c r="F321" s="41" t="s">
        <v>139</v>
      </c>
      <c r="G321" s="41" t="s">
        <v>24</v>
      </c>
      <c r="J321" s="41" t="s">
        <v>245</v>
      </c>
      <c r="K321" s="41" t="s">
        <v>244</v>
      </c>
      <c r="L321" s="58" t="s">
        <v>243</v>
      </c>
      <c r="M321" s="58" t="str">
        <f>LEFT(Table1[[#This Row],[Tegevusala kood]],2)</f>
        <v>08</v>
      </c>
      <c r="N321" s="41" t="str">
        <f>VLOOKUP(Table1[[#This Row],[Tegevusala kood]],Table4[[Tegevusala kood]:[Tegevusala alanimetus]],2,FALSE)</f>
        <v>Roela Raamatukogu</v>
      </c>
      <c r="O321" s="41" t="s">
        <v>1</v>
      </c>
      <c r="P321" s="41" t="s">
        <v>1</v>
      </c>
      <c r="Q321" s="41" t="str">
        <f>VLOOKUP(Table1[[#This Row],[Eelarvekonto]],Table5[[Konto]:[Kontode alanimetus]],5,FALSE)</f>
        <v>Majandamiskulud</v>
      </c>
      <c r="R321" s="42" t="str">
        <f>VLOOKUP(Table1[[#This Row],[Tegevusala kood]],Table4[[Tegevusala kood]:[Tegevusala alanimetus]],4,FALSE)</f>
        <v>Raamatukogud</v>
      </c>
      <c r="S321" s="53"/>
      <c r="T321" s="53"/>
      <c r="U321" s="53">
        <f>Table1[[#This Row],[Summa]]+Table1[[#This Row],[I Muudatus]]+Table1[[#This Row],[II Muudatus]]</f>
        <v>240</v>
      </c>
    </row>
    <row r="322" spans="1:21" ht="14.25" hidden="1" customHeight="1" x14ac:dyDescent="0.25">
      <c r="A322" s="41" t="s">
        <v>491</v>
      </c>
      <c r="B322" s="41">
        <v>100</v>
      </c>
      <c r="C322" s="52">
        <v>5500</v>
      </c>
      <c r="D322" s="52" t="str">
        <f>LEFT(Table1[[#This Row],[Eelarvekonto]],2)</f>
        <v>55</v>
      </c>
      <c r="E322" s="41" t="str">
        <f>VLOOKUP(Table1[[#This Row],[Eelarvekonto]],Table5[[Konto]:[Konto nimetus]],2,FALSE)</f>
        <v>Administreerimiskulud</v>
      </c>
      <c r="F322" s="41" t="s">
        <v>139</v>
      </c>
      <c r="G322" s="41" t="s">
        <v>24</v>
      </c>
      <c r="J322" s="41" t="s">
        <v>245</v>
      </c>
      <c r="K322" s="41" t="s">
        <v>244</v>
      </c>
      <c r="L322" s="58" t="s">
        <v>243</v>
      </c>
      <c r="M322" s="58" t="str">
        <f>LEFT(Table1[[#This Row],[Tegevusala kood]],2)</f>
        <v>08</v>
      </c>
      <c r="N322" s="41" t="str">
        <f>VLOOKUP(Table1[[#This Row],[Tegevusala kood]],Table4[[Tegevusala kood]:[Tegevusala alanimetus]],2,FALSE)</f>
        <v>Roela Raamatukogu</v>
      </c>
      <c r="O322" s="41" t="s">
        <v>1</v>
      </c>
      <c r="P322" s="41" t="s">
        <v>1</v>
      </c>
      <c r="Q322" s="41" t="str">
        <f>VLOOKUP(Table1[[#This Row],[Eelarvekonto]],Table5[[Konto]:[Kontode alanimetus]],5,FALSE)</f>
        <v>Majandamiskulud</v>
      </c>
      <c r="R322" s="42" t="str">
        <f>VLOOKUP(Table1[[#This Row],[Tegevusala kood]],Table4[[Tegevusala kood]:[Tegevusala alanimetus]],4,FALSE)</f>
        <v>Raamatukogud</v>
      </c>
      <c r="S322" s="53"/>
      <c r="T322" s="53"/>
      <c r="U322" s="53">
        <f>Table1[[#This Row],[Summa]]+Table1[[#This Row],[I Muudatus]]+Table1[[#This Row],[II Muudatus]]</f>
        <v>100</v>
      </c>
    </row>
    <row r="323" spans="1:21" ht="14.25" hidden="1" customHeight="1" x14ac:dyDescent="0.25">
      <c r="A323" s="41" t="s">
        <v>1057</v>
      </c>
      <c r="B323" s="41">
        <v>8000</v>
      </c>
      <c r="C323" s="52">
        <v>5511</v>
      </c>
      <c r="D323" s="52" t="str">
        <f>LEFT(Table1[[#This Row],[Eelarvekonto]],2)</f>
        <v>55</v>
      </c>
      <c r="E323" s="41" t="str">
        <f>VLOOKUP(Table1[[#This Row],[Eelarvekonto]],Table5[[Konto]:[Konto nimetus]],2,FALSE)</f>
        <v>Kinnistute, hoonete ja ruumide majandamiskulud</v>
      </c>
      <c r="F323" s="41" t="s">
        <v>139</v>
      </c>
      <c r="G323" s="41" t="s">
        <v>24</v>
      </c>
      <c r="J323" s="41" t="s">
        <v>320</v>
      </c>
      <c r="K323" s="41" t="s">
        <v>80</v>
      </c>
      <c r="L323" s="58" t="s">
        <v>319</v>
      </c>
      <c r="M323" s="58" t="str">
        <f>LEFT(Table1[[#This Row],[Tegevusala kood]],2)</f>
        <v>06</v>
      </c>
      <c r="N323" s="41" t="str">
        <f>VLOOKUP(Table1[[#This Row],[Tegevusala kood]],Table4[[Tegevusala kood]:[Tegevusala alanimetus]],2,FALSE)</f>
        <v>Roela, Tudu, Viru-Jaagupi teeninduspiirkond</v>
      </c>
      <c r="O323" s="41" t="s">
        <v>1</v>
      </c>
      <c r="P323" s="41" t="s">
        <v>1</v>
      </c>
      <c r="Q323" s="41" t="str">
        <f>VLOOKUP(Table1[[#This Row],[Eelarvekonto]],Table5[[Konto]:[Kontode alanimetus]],5,FALSE)</f>
        <v>Majandamiskulud</v>
      </c>
      <c r="R323" s="42" t="str">
        <f>VLOOKUP(Table1[[#This Row],[Tegevusala kood]],Table4[[Tegevusala kood]:[Tegevusala alanimetus]],4,FALSE)</f>
        <v>Muu elamu- ja kommunaalmajanduse tegevus</v>
      </c>
      <c r="S323" s="53"/>
      <c r="T323" s="53"/>
      <c r="U323" s="53">
        <f>Table1[[#This Row],[Summa]]+Table1[[#This Row],[I Muudatus]]+Table1[[#This Row],[II Muudatus]]</f>
        <v>8000</v>
      </c>
    </row>
    <row r="324" spans="1:21" ht="14.25" hidden="1" customHeight="1" x14ac:dyDescent="0.25">
      <c r="A324" s="41" t="s">
        <v>207</v>
      </c>
      <c r="B324" s="41">
        <v>2760</v>
      </c>
      <c r="C324" s="52">
        <v>5514</v>
      </c>
      <c r="D324" s="52" t="str">
        <f>LEFT(Table1[[#This Row],[Eelarvekonto]],2)</f>
        <v>55</v>
      </c>
      <c r="E324" s="41" t="str">
        <f>VLOOKUP(Table1[[#This Row],[Eelarvekonto]],Table5[[Konto]:[Konto nimetus]],2,FALSE)</f>
        <v>Info- ja kommunikatsioonitehnoloogia kulud</v>
      </c>
      <c r="F324" s="41" t="s">
        <v>139</v>
      </c>
      <c r="G324" s="41" t="s">
        <v>24</v>
      </c>
      <c r="J324" s="41" t="s">
        <v>320</v>
      </c>
      <c r="K324" s="41" t="s">
        <v>80</v>
      </c>
      <c r="L324" s="58" t="s">
        <v>319</v>
      </c>
      <c r="M324" s="58" t="str">
        <f>LEFT(Table1[[#This Row],[Tegevusala kood]],2)</f>
        <v>06</v>
      </c>
      <c r="N324" s="41" t="str">
        <f>VLOOKUP(Table1[[#This Row],[Tegevusala kood]],Table4[[Tegevusala kood]:[Tegevusala alanimetus]],2,FALSE)</f>
        <v>Roela, Tudu, Viru-Jaagupi teeninduspiirkond</v>
      </c>
      <c r="O324" s="41" t="s">
        <v>1</v>
      </c>
      <c r="P324" s="41" t="s">
        <v>1</v>
      </c>
      <c r="Q324" s="41" t="str">
        <f>VLOOKUP(Table1[[#This Row],[Eelarvekonto]],Table5[[Konto]:[Kontode alanimetus]],5,FALSE)</f>
        <v>Majandamiskulud</v>
      </c>
      <c r="R324" s="42" t="str">
        <f>VLOOKUP(Table1[[#This Row],[Tegevusala kood]],Table4[[Tegevusala kood]:[Tegevusala alanimetus]],4,FALSE)</f>
        <v>Muu elamu- ja kommunaalmajanduse tegevus</v>
      </c>
      <c r="S324" s="53"/>
      <c r="T324" s="53"/>
      <c r="U324" s="53">
        <f>Table1[[#This Row],[Summa]]+Table1[[#This Row],[I Muudatus]]+Table1[[#This Row],[II Muudatus]]</f>
        <v>2760</v>
      </c>
    </row>
    <row r="325" spans="1:21" ht="14.25" hidden="1" customHeight="1" x14ac:dyDescent="0.25">
      <c r="A325" s="41" t="s">
        <v>1058</v>
      </c>
      <c r="B325" s="41">
        <v>468</v>
      </c>
      <c r="C325" s="52">
        <v>5511</v>
      </c>
      <c r="D325" s="52" t="str">
        <f>LEFT(Table1[[#This Row],[Eelarvekonto]],2)</f>
        <v>55</v>
      </c>
      <c r="E325" s="41" t="str">
        <f>VLOOKUP(Table1[[#This Row],[Eelarvekonto]],Table5[[Konto]:[Konto nimetus]],2,FALSE)</f>
        <v>Kinnistute, hoonete ja ruumide majandamiskulud</v>
      </c>
      <c r="F325" s="41" t="s">
        <v>139</v>
      </c>
      <c r="G325" s="41" t="s">
        <v>24</v>
      </c>
      <c r="J325" s="41" t="s">
        <v>320</v>
      </c>
      <c r="K325" s="41" t="s">
        <v>80</v>
      </c>
      <c r="L325" s="58" t="s">
        <v>319</v>
      </c>
      <c r="M325" s="58" t="str">
        <f>LEFT(Table1[[#This Row],[Tegevusala kood]],2)</f>
        <v>06</v>
      </c>
      <c r="N325" s="41" t="str">
        <f>VLOOKUP(Table1[[#This Row],[Tegevusala kood]],Table4[[Tegevusala kood]:[Tegevusala alanimetus]],2,FALSE)</f>
        <v>Roela, Tudu, Viru-Jaagupi teeninduspiirkond</v>
      </c>
      <c r="O325" s="41" t="s">
        <v>1</v>
      </c>
      <c r="P325" s="41" t="s">
        <v>1</v>
      </c>
      <c r="Q325" s="41" t="str">
        <f>VLOOKUP(Table1[[#This Row],[Eelarvekonto]],Table5[[Konto]:[Kontode alanimetus]],5,FALSE)</f>
        <v>Majandamiskulud</v>
      </c>
      <c r="R325" s="42" t="str">
        <f>VLOOKUP(Table1[[#This Row],[Tegevusala kood]],Table4[[Tegevusala kood]:[Tegevusala alanimetus]],4,FALSE)</f>
        <v>Muu elamu- ja kommunaalmajanduse tegevus</v>
      </c>
      <c r="S325" s="53"/>
      <c r="T325" s="53"/>
      <c r="U325" s="53">
        <f>Table1[[#This Row],[Summa]]+Table1[[#This Row],[I Muudatus]]+Table1[[#This Row],[II Muudatus]]</f>
        <v>468</v>
      </c>
    </row>
    <row r="326" spans="1:21" ht="14.25" hidden="1" customHeight="1" x14ac:dyDescent="0.25">
      <c r="A326" s="41" t="s">
        <v>253</v>
      </c>
      <c r="B326" s="41">
        <v>3600</v>
      </c>
      <c r="C326" s="52">
        <v>551300</v>
      </c>
      <c r="D326" s="52" t="str">
        <f>LEFT(Table1[[#This Row],[Eelarvekonto]],2)</f>
        <v>55</v>
      </c>
      <c r="E326" s="41" t="str">
        <f>VLOOKUP(Table1[[#This Row],[Eelarvekonto]],Table5[[Konto]:[Konto nimetus]],2,FALSE)</f>
        <v>Kütus</v>
      </c>
      <c r="F326" s="41" t="s">
        <v>139</v>
      </c>
      <c r="G326" s="41" t="s">
        <v>24</v>
      </c>
      <c r="J326" s="41" t="s">
        <v>320</v>
      </c>
      <c r="K326" s="41" t="s">
        <v>80</v>
      </c>
      <c r="L326" s="58" t="s">
        <v>319</v>
      </c>
      <c r="M326" s="58" t="str">
        <f>LEFT(Table1[[#This Row],[Tegevusala kood]],2)</f>
        <v>06</v>
      </c>
      <c r="N326" s="41" t="str">
        <f>VLOOKUP(Table1[[#This Row],[Tegevusala kood]],Table4[[Tegevusala kood]:[Tegevusala alanimetus]],2,FALSE)</f>
        <v>Roela, Tudu, Viru-Jaagupi teeninduspiirkond</v>
      </c>
      <c r="O326" s="41" t="s">
        <v>1</v>
      </c>
      <c r="P326" s="41" t="s">
        <v>1</v>
      </c>
      <c r="Q326" s="41" t="str">
        <f>VLOOKUP(Table1[[#This Row],[Eelarvekonto]],Table5[[Konto]:[Kontode alanimetus]],5,FALSE)</f>
        <v>Majandamiskulud</v>
      </c>
      <c r="R326" s="42" t="str">
        <f>VLOOKUP(Table1[[#This Row],[Tegevusala kood]],Table4[[Tegevusala kood]:[Tegevusala alanimetus]],4,FALSE)</f>
        <v>Muu elamu- ja kommunaalmajanduse tegevus</v>
      </c>
      <c r="S326" s="53"/>
      <c r="T326" s="53"/>
      <c r="U326" s="53">
        <f>Table1[[#This Row],[Summa]]+Table1[[#This Row],[I Muudatus]]+Table1[[#This Row],[II Muudatus]]</f>
        <v>3600</v>
      </c>
    </row>
    <row r="327" spans="1:21" ht="14.25" hidden="1" customHeight="1" x14ac:dyDescent="0.25">
      <c r="A327" s="41" t="s">
        <v>1059</v>
      </c>
      <c r="B327" s="41">
        <v>351</v>
      </c>
      <c r="C327" s="52">
        <v>5511</v>
      </c>
      <c r="D327" s="52" t="str">
        <f>LEFT(Table1[[#This Row],[Eelarvekonto]],2)</f>
        <v>55</v>
      </c>
      <c r="E327" s="41" t="str">
        <f>VLOOKUP(Table1[[#This Row],[Eelarvekonto]],Table5[[Konto]:[Konto nimetus]],2,FALSE)</f>
        <v>Kinnistute, hoonete ja ruumide majandamiskulud</v>
      </c>
      <c r="F327" s="41" t="s">
        <v>139</v>
      </c>
      <c r="G327" s="41" t="s">
        <v>24</v>
      </c>
      <c r="J327" s="41" t="s">
        <v>320</v>
      </c>
      <c r="K327" s="41" t="s">
        <v>80</v>
      </c>
      <c r="L327" s="58" t="s">
        <v>319</v>
      </c>
      <c r="M327" s="58" t="str">
        <f>LEFT(Table1[[#This Row],[Tegevusala kood]],2)</f>
        <v>06</v>
      </c>
      <c r="N327" s="41" t="str">
        <f>VLOOKUP(Table1[[#This Row],[Tegevusala kood]],Table4[[Tegevusala kood]:[Tegevusala alanimetus]],2,FALSE)</f>
        <v>Roela, Tudu, Viru-Jaagupi teeninduspiirkond</v>
      </c>
      <c r="O327" s="41" t="s">
        <v>1</v>
      </c>
      <c r="P327" s="41" t="s">
        <v>1</v>
      </c>
      <c r="Q327" s="41" t="str">
        <f>VLOOKUP(Table1[[#This Row],[Eelarvekonto]],Table5[[Konto]:[Kontode alanimetus]],5,FALSE)</f>
        <v>Majandamiskulud</v>
      </c>
      <c r="R327" s="42" t="str">
        <f>VLOOKUP(Table1[[#This Row],[Tegevusala kood]],Table4[[Tegevusala kood]:[Tegevusala alanimetus]],4,FALSE)</f>
        <v>Muu elamu- ja kommunaalmajanduse tegevus</v>
      </c>
      <c r="S327" s="53"/>
      <c r="T327" s="53"/>
      <c r="U327" s="53">
        <f>Table1[[#This Row],[Summa]]+Table1[[#This Row],[I Muudatus]]+Table1[[#This Row],[II Muudatus]]</f>
        <v>351</v>
      </c>
    </row>
    <row r="328" spans="1:21" ht="14.25" hidden="1" customHeight="1" x14ac:dyDescent="0.25">
      <c r="A328" s="41" t="s">
        <v>176</v>
      </c>
      <c r="B328" s="41">
        <v>900</v>
      </c>
      <c r="C328" s="52">
        <v>5511</v>
      </c>
      <c r="D328" s="52" t="str">
        <f>LEFT(Table1[[#This Row],[Eelarvekonto]],2)</f>
        <v>55</v>
      </c>
      <c r="E328" s="41" t="str">
        <f>VLOOKUP(Table1[[#This Row],[Eelarvekonto]],Table5[[Konto]:[Konto nimetus]],2,FALSE)</f>
        <v>Kinnistute, hoonete ja ruumide majandamiskulud</v>
      </c>
      <c r="F328" s="41" t="s">
        <v>139</v>
      </c>
      <c r="G328" s="41" t="s">
        <v>24</v>
      </c>
      <c r="J328" s="41" t="s">
        <v>320</v>
      </c>
      <c r="K328" s="41" t="s">
        <v>80</v>
      </c>
      <c r="L328" s="58" t="s">
        <v>319</v>
      </c>
      <c r="M328" s="58" t="str">
        <f>LEFT(Table1[[#This Row],[Tegevusala kood]],2)</f>
        <v>06</v>
      </c>
      <c r="N328" s="41" t="str">
        <f>VLOOKUP(Table1[[#This Row],[Tegevusala kood]],Table4[[Tegevusala kood]:[Tegevusala alanimetus]],2,FALSE)</f>
        <v>Roela, Tudu, Viru-Jaagupi teeninduspiirkond</v>
      </c>
      <c r="O328" s="41" t="s">
        <v>1</v>
      </c>
      <c r="P328" s="41" t="s">
        <v>1</v>
      </c>
      <c r="Q328" s="41" t="str">
        <f>VLOOKUP(Table1[[#This Row],[Eelarvekonto]],Table5[[Konto]:[Kontode alanimetus]],5,FALSE)</f>
        <v>Majandamiskulud</v>
      </c>
      <c r="R328" s="42" t="str">
        <f>VLOOKUP(Table1[[#This Row],[Tegevusala kood]],Table4[[Tegevusala kood]:[Tegevusala alanimetus]],4,FALSE)</f>
        <v>Muu elamu- ja kommunaalmajanduse tegevus</v>
      </c>
      <c r="S328" s="53"/>
      <c r="T328" s="53"/>
      <c r="U328" s="53">
        <f>Table1[[#This Row],[Summa]]+Table1[[#This Row],[I Muudatus]]+Table1[[#This Row],[II Muudatus]]</f>
        <v>900</v>
      </c>
    </row>
    <row r="329" spans="1:21" ht="14.25" hidden="1" customHeight="1" x14ac:dyDescent="0.25">
      <c r="A329" s="41" t="s">
        <v>1060</v>
      </c>
      <c r="B329" s="41">
        <v>384</v>
      </c>
      <c r="C329" s="52">
        <v>5511</v>
      </c>
      <c r="D329" s="52" t="str">
        <f>LEFT(Table1[[#This Row],[Eelarvekonto]],2)</f>
        <v>55</v>
      </c>
      <c r="E329" s="41" t="str">
        <f>VLOOKUP(Table1[[#This Row],[Eelarvekonto]],Table5[[Konto]:[Konto nimetus]],2,FALSE)</f>
        <v>Kinnistute, hoonete ja ruumide majandamiskulud</v>
      </c>
      <c r="F329" s="41" t="s">
        <v>139</v>
      </c>
      <c r="G329" s="41" t="s">
        <v>24</v>
      </c>
      <c r="J329" s="41" t="s">
        <v>320</v>
      </c>
      <c r="K329" s="41" t="s">
        <v>80</v>
      </c>
      <c r="L329" s="58" t="s">
        <v>319</v>
      </c>
      <c r="M329" s="58" t="str">
        <f>LEFT(Table1[[#This Row],[Tegevusala kood]],2)</f>
        <v>06</v>
      </c>
      <c r="N329" s="41" t="str">
        <f>VLOOKUP(Table1[[#This Row],[Tegevusala kood]],Table4[[Tegevusala kood]:[Tegevusala alanimetus]],2,FALSE)</f>
        <v>Roela, Tudu, Viru-Jaagupi teeninduspiirkond</v>
      </c>
      <c r="O329" s="41" t="s">
        <v>1</v>
      </c>
      <c r="P329" s="41" t="s">
        <v>1</v>
      </c>
      <c r="Q329" s="41" t="str">
        <f>VLOOKUP(Table1[[#This Row],[Eelarvekonto]],Table5[[Konto]:[Kontode alanimetus]],5,FALSE)</f>
        <v>Majandamiskulud</v>
      </c>
      <c r="R329" s="42" t="str">
        <f>VLOOKUP(Table1[[#This Row],[Tegevusala kood]],Table4[[Tegevusala kood]:[Tegevusala alanimetus]],4,FALSE)</f>
        <v>Muu elamu- ja kommunaalmajanduse tegevus</v>
      </c>
      <c r="S329" s="53"/>
      <c r="T329" s="53"/>
      <c r="U329" s="53">
        <f>Table1[[#This Row],[Summa]]+Table1[[#This Row],[I Muudatus]]+Table1[[#This Row],[II Muudatus]]</f>
        <v>384</v>
      </c>
    </row>
    <row r="330" spans="1:21" ht="14.25" hidden="1" customHeight="1" x14ac:dyDescent="0.25">
      <c r="A330" s="41" t="s">
        <v>1061</v>
      </c>
      <c r="B330" s="41">
        <v>9700</v>
      </c>
      <c r="C330" s="52">
        <v>5511</v>
      </c>
      <c r="D330" s="52" t="str">
        <f>LEFT(Table1[[#This Row],[Eelarvekonto]],2)</f>
        <v>55</v>
      </c>
      <c r="E330" s="41" t="str">
        <f>VLOOKUP(Table1[[#This Row],[Eelarvekonto]],Table5[[Konto]:[Konto nimetus]],2,FALSE)</f>
        <v>Kinnistute, hoonete ja ruumide majandamiskulud</v>
      </c>
      <c r="F330" s="41" t="s">
        <v>139</v>
      </c>
      <c r="G330" s="41" t="s">
        <v>24</v>
      </c>
      <c r="J330" s="41" t="s">
        <v>320</v>
      </c>
      <c r="K330" s="41" t="s">
        <v>80</v>
      </c>
      <c r="L330" s="58" t="s">
        <v>319</v>
      </c>
      <c r="M330" s="58" t="str">
        <f>LEFT(Table1[[#This Row],[Tegevusala kood]],2)</f>
        <v>06</v>
      </c>
      <c r="N330" s="41" t="str">
        <f>VLOOKUP(Table1[[#This Row],[Tegevusala kood]],Table4[[Tegevusala kood]:[Tegevusala alanimetus]],2,FALSE)</f>
        <v>Roela, Tudu, Viru-Jaagupi teeninduspiirkond</v>
      </c>
      <c r="O330" s="41" t="s">
        <v>1</v>
      </c>
      <c r="P330" s="41" t="s">
        <v>1</v>
      </c>
      <c r="Q330" s="41" t="str">
        <f>VLOOKUP(Table1[[#This Row],[Eelarvekonto]],Table5[[Konto]:[Kontode alanimetus]],5,FALSE)</f>
        <v>Majandamiskulud</v>
      </c>
      <c r="R330" s="42" t="str">
        <f>VLOOKUP(Table1[[#This Row],[Tegevusala kood]],Table4[[Tegevusala kood]:[Tegevusala alanimetus]],4,FALSE)</f>
        <v>Muu elamu- ja kommunaalmajanduse tegevus</v>
      </c>
      <c r="S330" s="53"/>
      <c r="T330" s="53"/>
      <c r="U330" s="53">
        <f>Table1[[#This Row],[Summa]]+Table1[[#This Row],[I Muudatus]]+Table1[[#This Row],[II Muudatus]]</f>
        <v>9700</v>
      </c>
    </row>
    <row r="331" spans="1:21" ht="14.25" hidden="1" customHeight="1" x14ac:dyDescent="0.25">
      <c r="A331" s="41" t="s">
        <v>196</v>
      </c>
      <c r="C331" s="52">
        <v>5511</v>
      </c>
      <c r="D331" s="52" t="str">
        <f>LEFT(Table1[[#This Row],[Eelarvekonto]],2)</f>
        <v>55</v>
      </c>
      <c r="E331" s="41" t="str">
        <f>VLOOKUP(Table1[[#This Row],[Eelarvekonto]],Table5[[Konto]:[Konto nimetus]],2,FALSE)</f>
        <v>Kinnistute, hoonete ja ruumide majandamiskulud</v>
      </c>
      <c r="F331" s="41" t="s">
        <v>139</v>
      </c>
      <c r="G331" s="41" t="s">
        <v>24</v>
      </c>
      <c r="J331" s="41" t="s">
        <v>320</v>
      </c>
      <c r="K331" s="41" t="s">
        <v>80</v>
      </c>
      <c r="L331" s="58" t="s">
        <v>319</v>
      </c>
      <c r="M331" s="58" t="str">
        <f>LEFT(Table1[[#This Row],[Tegevusala kood]],2)</f>
        <v>06</v>
      </c>
      <c r="N331" s="41" t="str">
        <f>VLOOKUP(Table1[[#This Row],[Tegevusala kood]],Table4[[Tegevusala kood]:[Tegevusala alanimetus]],2,FALSE)</f>
        <v>Roela, Tudu, Viru-Jaagupi teeninduspiirkond</v>
      </c>
      <c r="O331" s="41" t="s">
        <v>1</v>
      </c>
      <c r="P331" s="41" t="s">
        <v>1</v>
      </c>
      <c r="Q331" s="41" t="str">
        <f>VLOOKUP(Table1[[#This Row],[Eelarvekonto]],Table5[[Konto]:[Kontode alanimetus]],5,FALSE)</f>
        <v>Majandamiskulud</v>
      </c>
      <c r="R331" s="42" t="str">
        <f>VLOOKUP(Table1[[#This Row],[Tegevusala kood]],Table4[[Tegevusala kood]:[Tegevusala alanimetus]],4,FALSE)</f>
        <v>Muu elamu- ja kommunaalmajanduse tegevus</v>
      </c>
      <c r="S331" s="53"/>
      <c r="T331" s="53"/>
      <c r="U331" s="53">
        <f>Table1[[#This Row],[Summa]]+Table1[[#This Row],[I Muudatus]]+Table1[[#This Row],[II Muudatus]]</f>
        <v>0</v>
      </c>
    </row>
    <row r="332" spans="1:21" ht="14.25" hidden="1" customHeight="1" x14ac:dyDescent="0.25">
      <c r="A332" s="41" t="s">
        <v>1062</v>
      </c>
      <c r="B332" s="41">
        <v>1500</v>
      </c>
      <c r="C332" s="52">
        <v>5511</v>
      </c>
      <c r="D332" s="52" t="str">
        <f>LEFT(Table1[[#This Row],[Eelarvekonto]],2)</f>
        <v>55</v>
      </c>
      <c r="E332" s="41" t="str">
        <f>VLOOKUP(Table1[[#This Row],[Eelarvekonto]],Table5[[Konto]:[Konto nimetus]],2,FALSE)</f>
        <v>Kinnistute, hoonete ja ruumide majandamiskulud</v>
      </c>
      <c r="F332" s="41" t="s">
        <v>139</v>
      </c>
      <c r="G332" s="41" t="s">
        <v>24</v>
      </c>
      <c r="J332" s="41" t="s">
        <v>320</v>
      </c>
      <c r="K332" s="41" t="s">
        <v>80</v>
      </c>
      <c r="L332" s="58" t="s">
        <v>319</v>
      </c>
      <c r="M332" s="58" t="str">
        <f>LEFT(Table1[[#This Row],[Tegevusala kood]],2)</f>
        <v>06</v>
      </c>
      <c r="N332" s="41" t="str">
        <f>VLOOKUP(Table1[[#This Row],[Tegevusala kood]],Table4[[Tegevusala kood]:[Tegevusala alanimetus]],2,FALSE)</f>
        <v>Roela, Tudu, Viru-Jaagupi teeninduspiirkond</v>
      </c>
      <c r="O332" s="41" t="s">
        <v>1</v>
      </c>
      <c r="P332" s="41" t="s">
        <v>1</v>
      </c>
      <c r="Q332" s="41" t="str">
        <f>VLOOKUP(Table1[[#This Row],[Eelarvekonto]],Table5[[Konto]:[Kontode alanimetus]],5,FALSE)</f>
        <v>Majandamiskulud</v>
      </c>
      <c r="R332" s="42" t="str">
        <f>VLOOKUP(Table1[[#This Row],[Tegevusala kood]],Table4[[Tegevusala kood]:[Tegevusala alanimetus]],4,FALSE)</f>
        <v>Muu elamu- ja kommunaalmajanduse tegevus</v>
      </c>
      <c r="S332" s="53"/>
      <c r="T332" s="53"/>
      <c r="U332" s="53">
        <f>Table1[[#This Row],[Summa]]+Table1[[#This Row],[I Muudatus]]+Table1[[#This Row],[II Muudatus]]</f>
        <v>1500</v>
      </c>
    </row>
    <row r="333" spans="1:21" ht="14.25" hidden="1" customHeight="1" x14ac:dyDescent="0.25">
      <c r="A333" s="41" t="s">
        <v>322</v>
      </c>
      <c r="B333" s="41">
        <v>496.8</v>
      </c>
      <c r="C333" s="52">
        <v>5511</v>
      </c>
      <c r="D333" s="52" t="str">
        <f>LEFT(Table1[[#This Row],[Eelarvekonto]],2)</f>
        <v>55</v>
      </c>
      <c r="E333" s="41" t="str">
        <f>VLOOKUP(Table1[[#This Row],[Eelarvekonto]],Table5[[Konto]:[Konto nimetus]],2,FALSE)</f>
        <v>Kinnistute, hoonete ja ruumide majandamiskulud</v>
      </c>
      <c r="F333" s="41" t="s">
        <v>139</v>
      </c>
      <c r="G333" s="41" t="s">
        <v>24</v>
      </c>
      <c r="J333" s="41" t="s">
        <v>320</v>
      </c>
      <c r="K333" s="41" t="s">
        <v>80</v>
      </c>
      <c r="L333" s="58" t="s">
        <v>319</v>
      </c>
      <c r="M333" s="58" t="str">
        <f>LEFT(Table1[[#This Row],[Tegevusala kood]],2)</f>
        <v>06</v>
      </c>
      <c r="N333" s="41" t="str">
        <f>VLOOKUP(Table1[[#This Row],[Tegevusala kood]],Table4[[Tegevusala kood]:[Tegevusala alanimetus]],2,FALSE)</f>
        <v>Roela, Tudu, Viru-Jaagupi teeninduspiirkond</v>
      </c>
      <c r="O333" s="41" t="s">
        <v>1</v>
      </c>
      <c r="P333" s="41" t="s">
        <v>1</v>
      </c>
      <c r="Q333" s="41" t="str">
        <f>VLOOKUP(Table1[[#This Row],[Eelarvekonto]],Table5[[Konto]:[Kontode alanimetus]],5,FALSE)</f>
        <v>Majandamiskulud</v>
      </c>
      <c r="R333" s="42" t="str">
        <f>VLOOKUP(Table1[[#This Row],[Tegevusala kood]],Table4[[Tegevusala kood]:[Tegevusala alanimetus]],4,FALSE)</f>
        <v>Muu elamu- ja kommunaalmajanduse tegevus</v>
      </c>
      <c r="S333" s="53"/>
      <c r="T333" s="53"/>
      <c r="U333" s="53">
        <f>Table1[[#This Row],[Summa]]+Table1[[#This Row],[I Muudatus]]+Table1[[#This Row],[II Muudatus]]</f>
        <v>496.8</v>
      </c>
    </row>
    <row r="334" spans="1:21" ht="14.25" hidden="1" customHeight="1" x14ac:dyDescent="0.25">
      <c r="A334" s="41" t="s">
        <v>1063</v>
      </c>
      <c r="B334" s="41">
        <v>13000</v>
      </c>
      <c r="C334" s="52">
        <v>5511</v>
      </c>
      <c r="D334" s="52" t="str">
        <f>LEFT(Table1[[#This Row],[Eelarvekonto]],2)</f>
        <v>55</v>
      </c>
      <c r="E334" s="41" t="str">
        <f>VLOOKUP(Table1[[#This Row],[Eelarvekonto]],Table5[[Konto]:[Konto nimetus]],2,FALSE)</f>
        <v>Kinnistute, hoonete ja ruumide majandamiskulud</v>
      </c>
      <c r="F334" s="41" t="s">
        <v>139</v>
      </c>
      <c r="G334" s="41" t="s">
        <v>24</v>
      </c>
      <c r="J334" s="41" t="s">
        <v>320</v>
      </c>
      <c r="K334" s="41" t="s">
        <v>80</v>
      </c>
      <c r="L334" s="58" t="s">
        <v>319</v>
      </c>
      <c r="M334" s="58" t="str">
        <f>LEFT(Table1[[#This Row],[Tegevusala kood]],2)</f>
        <v>06</v>
      </c>
      <c r="N334" s="41" t="str">
        <f>VLOOKUP(Table1[[#This Row],[Tegevusala kood]],Table4[[Tegevusala kood]:[Tegevusala alanimetus]],2,FALSE)</f>
        <v>Roela, Tudu, Viru-Jaagupi teeninduspiirkond</v>
      </c>
      <c r="O334" s="41" t="s">
        <v>1</v>
      </c>
      <c r="P334" s="41" t="s">
        <v>1</v>
      </c>
      <c r="Q334" s="41" t="str">
        <f>VLOOKUP(Table1[[#This Row],[Eelarvekonto]],Table5[[Konto]:[Kontode alanimetus]],5,FALSE)</f>
        <v>Majandamiskulud</v>
      </c>
      <c r="R334" s="42" t="str">
        <f>VLOOKUP(Table1[[#This Row],[Tegevusala kood]],Table4[[Tegevusala kood]:[Tegevusala alanimetus]],4,FALSE)</f>
        <v>Muu elamu- ja kommunaalmajanduse tegevus</v>
      </c>
      <c r="S334" s="53"/>
      <c r="T334" s="53"/>
      <c r="U334" s="53">
        <f>Table1[[#This Row],[Summa]]+Table1[[#This Row],[I Muudatus]]+Table1[[#This Row],[II Muudatus]]</f>
        <v>13000</v>
      </c>
    </row>
    <row r="335" spans="1:21" ht="14.25" hidden="1" customHeight="1" x14ac:dyDescent="0.25">
      <c r="A335" s="41" t="s">
        <v>324</v>
      </c>
      <c r="B335" s="41">
        <v>960</v>
      </c>
      <c r="C335" s="52">
        <v>5511</v>
      </c>
      <c r="D335" s="52" t="str">
        <f>LEFT(Table1[[#This Row],[Eelarvekonto]],2)</f>
        <v>55</v>
      </c>
      <c r="E335" s="41" t="str">
        <f>VLOOKUP(Table1[[#This Row],[Eelarvekonto]],Table5[[Konto]:[Konto nimetus]],2,FALSE)</f>
        <v>Kinnistute, hoonete ja ruumide majandamiskulud</v>
      </c>
      <c r="F335" s="41" t="s">
        <v>139</v>
      </c>
      <c r="G335" s="41" t="s">
        <v>24</v>
      </c>
      <c r="J335" s="41" t="s">
        <v>320</v>
      </c>
      <c r="K335" s="41" t="s">
        <v>80</v>
      </c>
      <c r="L335" s="58" t="s">
        <v>319</v>
      </c>
      <c r="M335" s="58" t="str">
        <f>LEFT(Table1[[#This Row],[Tegevusala kood]],2)</f>
        <v>06</v>
      </c>
      <c r="N335" s="41" t="str">
        <f>VLOOKUP(Table1[[#This Row],[Tegevusala kood]],Table4[[Tegevusala kood]:[Tegevusala alanimetus]],2,FALSE)</f>
        <v>Roela, Tudu, Viru-Jaagupi teeninduspiirkond</v>
      </c>
      <c r="O335" s="41" t="s">
        <v>1</v>
      </c>
      <c r="P335" s="41" t="s">
        <v>1</v>
      </c>
      <c r="Q335" s="41" t="str">
        <f>VLOOKUP(Table1[[#This Row],[Eelarvekonto]],Table5[[Konto]:[Kontode alanimetus]],5,FALSE)</f>
        <v>Majandamiskulud</v>
      </c>
      <c r="R335" s="42" t="str">
        <f>VLOOKUP(Table1[[#This Row],[Tegevusala kood]],Table4[[Tegevusala kood]:[Tegevusala alanimetus]],4,FALSE)</f>
        <v>Muu elamu- ja kommunaalmajanduse tegevus</v>
      </c>
      <c r="S335" s="53"/>
      <c r="T335" s="53"/>
      <c r="U335" s="53">
        <f>Table1[[#This Row],[Summa]]+Table1[[#This Row],[I Muudatus]]+Table1[[#This Row],[II Muudatus]]</f>
        <v>960</v>
      </c>
    </row>
    <row r="336" spans="1:21" ht="14.25" hidden="1" customHeight="1" x14ac:dyDescent="0.25">
      <c r="A336" s="41" t="s">
        <v>1064</v>
      </c>
      <c r="B336" s="41">
        <v>960</v>
      </c>
      <c r="C336" s="52">
        <v>551300</v>
      </c>
      <c r="D336" s="52" t="str">
        <f>LEFT(Table1[[#This Row],[Eelarvekonto]],2)</f>
        <v>55</v>
      </c>
      <c r="E336" s="41" t="str">
        <f>VLOOKUP(Table1[[#This Row],[Eelarvekonto]],Table5[[Konto]:[Konto nimetus]],2,FALSE)</f>
        <v>Kütus</v>
      </c>
      <c r="F336" s="41" t="s">
        <v>139</v>
      </c>
      <c r="G336" s="41" t="s">
        <v>24</v>
      </c>
      <c r="J336" s="41" t="s">
        <v>320</v>
      </c>
      <c r="K336" s="41" t="s">
        <v>80</v>
      </c>
      <c r="L336" s="58" t="s">
        <v>319</v>
      </c>
      <c r="M336" s="58" t="str">
        <f>LEFT(Table1[[#This Row],[Tegevusala kood]],2)</f>
        <v>06</v>
      </c>
      <c r="N336" s="41" t="str">
        <f>VLOOKUP(Table1[[#This Row],[Tegevusala kood]],Table4[[Tegevusala kood]:[Tegevusala alanimetus]],2,FALSE)</f>
        <v>Roela, Tudu, Viru-Jaagupi teeninduspiirkond</v>
      </c>
      <c r="O336" s="41" t="s">
        <v>1</v>
      </c>
      <c r="P336" s="41" t="s">
        <v>1</v>
      </c>
      <c r="Q336" s="41" t="str">
        <f>VLOOKUP(Table1[[#This Row],[Eelarvekonto]],Table5[[Konto]:[Kontode alanimetus]],5,FALSE)</f>
        <v>Majandamiskulud</v>
      </c>
      <c r="R336" s="42" t="str">
        <f>VLOOKUP(Table1[[#This Row],[Tegevusala kood]],Table4[[Tegevusala kood]:[Tegevusala alanimetus]],4,FALSE)</f>
        <v>Muu elamu- ja kommunaalmajanduse tegevus</v>
      </c>
      <c r="S336" s="53"/>
      <c r="T336" s="53"/>
      <c r="U336" s="53">
        <f>Table1[[#This Row],[Summa]]+Table1[[#This Row],[I Muudatus]]+Table1[[#This Row],[II Muudatus]]</f>
        <v>960</v>
      </c>
    </row>
    <row r="337" spans="1:21" ht="14.25" hidden="1" customHeight="1" x14ac:dyDescent="0.25">
      <c r="A337" s="41" t="s">
        <v>158</v>
      </c>
      <c r="B337" s="41">
        <v>14283.88</v>
      </c>
      <c r="C337" s="52">
        <v>506</v>
      </c>
      <c r="D337" s="52" t="str">
        <f>LEFT(Table1[[#This Row],[Eelarvekonto]],2)</f>
        <v>50</v>
      </c>
      <c r="E337" s="41" t="str">
        <f>VLOOKUP(Table1[[#This Row],[Eelarvekonto]],Table5[[Konto]:[Konto nimetus]],2,FALSE)</f>
        <v>Tööjõukuludega kaasnevad maksud ja sotsiaalkindlustusmaksed</v>
      </c>
      <c r="F337" s="41" t="s">
        <v>139</v>
      </c>
      <c r="G337" s="41" t="s">
        <v>24</v>
      </c>
      <c r="J337" s="41" t="s">
        <v>320</v>
      </c>
      <c r="K337" s="41" t="s">
        <v>80</v>
      </c>
      <c r="L337" s="58" t="s">
        <v>319</v>
      </c>
      <c r="M337" s="58" t="str">
        <f>LEFT(Table1[[#This Row],[Tegevusala kood]],2)</f>
        <v>06</v>
      </c>
      <c r="N337" s="41" t="str">
        <f>VLOOKUP(Table1[[#This Row],[Tegevusala kood]],Table4[[Tegevusala kood]:[Tegevusala alanimetus]],2,FALSE)</f>
        <v>Roela, Tudu, Viru-Jaagupi teeninduspiirkond</v>
      </c>
      <c r="O337" s="41" t="s">
        <v>1</v>
      </c>
      <c r="P337" s="41" t="s">
        <v>1</v>
      </c>
      <c r="Q337" s="41" t="str">
        <f>VLOOKUP(Table1[[#This Row],[Eelarvekonto]],Table5[[Konto]:[Kontode alanimetus]],5,FALSE)</f>
        <v>Tööjõukulud</v>
      </c>
      <c r="R337" s="42" t="str">
        <f>VLOOKUP(Table1[[#This Row],[Tegevusala kood]],Table4[[Tegevusala kood]:[Tegevusala alanimetus]],4,FALSE)</f>
        <v>Muu elamu- ja kommunaalmajanduse tegevus</v>
      </c>
      <c r="S337" s="53"/>
      <c r="T337" s="53"/>
      <c r="U337" s="53">
        <f>Table1[[#This Row],[Summa]]+Table1[[#This Row],[I Muudatus]]+Table1[[#This Row],[II Muudatus]]</f>
        <v>14283.88</v>
      </c>
    </row>
    <row r="338" spans="1:21" ht="14.25" hidden="1" customHeight="1" x14ac:dyDescent="0.25">
      <c r="A338" s="41" t="s">
        <v>1065</v>
      </c>
      <c r="B338" s="41">
        <v>732.96</v>
      </c>
      <c r="C338" s="52">
        <v>5514</v>
      </c>
      <c r="D338" s="52" t="str">
        <f>LEFT(Table1[[#This Row],[Eelarvekonto]],2)</f>
        <v>55</v>
      </c>
      <c r="E338" s="41" t="str">
        <f>VLOOKUP(Table1[[#This Row],[Eelarvekonto]],Table5[[Konto]:[Konto nimetus]],2,FALSE)</f>
        <v>Info- ja kommunikatsioonitehnoloogia kulud</v>
      </c>
      <c r="F338" s="41" t="s">
        <v>139</v>
      </c>
      <c r="G338" s="41" t="s">
        <v>24</v>
      </c>
      <c r="J338" s="41" t="s">
        <v>320</v>
      </c>
      <c r="K338" s="41" t="s">
        <v>80</v>
      </c>
      <c r="L338" s="58" t="s">
        <v>319</v>
      </c>
      <c r="M338" s="58" t="str">
        <f>LEFT(Table1[[#This Row],[Tegevusala kood]],2)</f>
        <v>06</v>
      </c>
      <c r="N338" s="41" t="str">
        <f>VLOOKUP(Table1[[#This Row],[Tegevusala kood]],Table4[[Tegevusala kood]:[Tegevusala alanimetus]],2,FALSE)</f>
        <v>Roela, Tudu, Viru-Jaagupi teeninduspiirkond</v>
      </c>
      <c r="O338" s="41" t="s">
        <v>1</v>
      </c>
      <c r="P338" s="41" t="s">
        <v>1</v>
      </c>
      <c r="Q338" s="41" t="str">
        <f>VLOOKUP(Table1[[#This Row],[Eelarvekonto]],Table5[[Konto]:[Kontode alanimetus]],5,FALSE)</f>
        <v>Majandamiskulud</v>
      </c>
      <c r="R338" s="42" t="str">
        <f>VLOOKUP(Table1[[#This Row],[Tegevusala kood]],Table4[[Tegevusala kood]:[Tegevusala alanimetus]],4,FALSE)</f>
        <v>Muu elamu- ja kommunaalmajanduse tegevus</v>
      </c>
      <c r="S338" s="53"/>
      <c r="T338" s="53"/>
      <c r="U338" s="53">
        <f>Table1[[#This Row],[Summa]]+Table1[[#This Row],[I Muudatus]]+Table1[[#This Row],[II Muudatus]]</f>
        <v>732.96</v>
      </c>
    </row>
    <row r="339" spans="1:21" ht="14.25" hidden="1" customHeight="1" x14ac:dyDescent="0.25">
      <c r="A339" s="41" t="s">
        <v>1066</v>
      </c>
      <c r="B339" s="41">
        <v>1920</v>
      </c>
      <c r="C339" s="52">
        <v>5514</v>
      </c>
      <c r="D339" s="52" t="str">
        <f>LEFT(Table1[[#This Row],[Eelarvekonto]],2)</f>
        <v>55</v>
      </c>
      <c r="E339" s="41" t="str">
        <f>VLOOKUP(Table1[[#This Row],[Eelarvekonto]],Table5[[Konto]:[Konto nimetus]],2,FALSE)</f>
        <v>Info- ja kommunikatsioonitehnoloogia kulud</v>
      </c>
      <c r="F339" s="41" t="s">
        <v>139</v>
      </c>
      <c r="G339" s="41" t="s">
        <v>24</v>
      </c>
      <c r="J339" s="41" t="s">
        <v>320</v>
      </c>
      <c r="K339" s="41" t="s">
        <v>80</v>
      </c>
      <c r="L339" s="58" t="s">
        <v>319</v>
      </c>
      <c r="M339" s="58" t="str">
        <f>LEFT(Table1[[#This Row],[Tegevusala kood]],2)</f>
        <v>06</v>
      </c>
      <c r="N339" s="41" t="str">
        <f>VLOOKUP(Table1[[#This Row],[Tegevusala kood]],Table4[[Tegevusala kood]:[Tegevusala alanimetus]],2,FALSE)</f>
        <v>Roela, Tudu, Viru-Jaagupi teeninduspiirkond</v>
      </c>
      <c r="O339" s="41" t="s">
        <v>1</v>
      </c>
      <c r="P339" s="41" t="s">
        <v>1</v>
      </c>
      <c r="Q339" s="41" t="str">
        <f>VLOOKUP(Table1[[#This Row],[Eelarvekonto]],Table5[[Konto]:[Kontode alanimetus]],5,FALSE)</f>
        <v>Majandamiskulud</v>
      </c>
      <c r="R339" s="42" t="str">
        <f>VLOOKUP(Table1[[#This Row],[Tegevusala kood]],Table4[[Tegevusala kood]:[Tegevusala alanimetus]],4,FALSE)</f>
        <v>Muu elamu- ja kommunaalmajanduse tegevus</v>
      </c>
      <c r="S339" s="53"/>
      <c r="T339" s="53"/>
      <c r="U339" s="53">
        <f>Table1[[#This Row],[Summa]]+Table1[[#This Row],[I Muudatus]]+Table1[[#This Row],[II Muudatus]]</f>
        <v>1920</v>
      </c>
    </row>
    <row r="340" spans="1:21" ht="14.25" hidden="1" customHeight="1" x14ac:dyDescent="0.25">
      <c r="A340" s="41" t="s">
        <v>1067</v>
      </c>
      <c r="B340" s="41">
        <v>1320</v>
      </c>
      <c r="C340" s="52">
        <v>5500</v>
      </c>
      <c r="D340" s="52" t="str">
        <f>LEFT(Table1[[#This Row],[Eelarvekonto]],2)</f>
        <v>55</v>
      </c>
      <c r="E340" s="41" t="str">
        <f>VLOOKUP(Table1[[#This Row],[Eelarvekonto]],Table5[[Konto]:[Konto nimetus]],2,FALSE)</f>
        <v>Administreerimiskulud</v>
      </c>
      <c r="F340" s="41" t="s">
        <v>139</v>
      </c>
      <c r="G340" s="41" t="s">
        <v>24</v>
      </c>
      <c r="J340" s="41" t="s">
        <v>320</v>
      </c>
      <c r="K340" s="41" t="s">
        <v>80</v>
      </c>
      <c r="L340" s="58" t="s">
        <v>319</v>
      </c>
      <c r="M340" s="58" t="str">
        <f>LEFT(Table1[[#This Row],[Tegevusala kood]],2)</f>
        <v>06</v>
      </c>
      <c r="N340" s="41" t="str">
        <f>VLOOKUP(Table1[[#This Row],[Tegevusala kood]],Table4[[Tegevusala kood]:[Tegevusala alanimetus]],2,FALSE)</f>
        <v>Roela, Tudu, Viru-Jaagupi teeninduspiirkond</v>
      </c>
      <c r="O340" s="41" t="s">
        <v>1</v>
      </c>
      <c r="P340" s="41" t="s">
        <v>1</v>
      </c>
      <c r="Q340" s="41" t="str">
        <f>VLOOKUP(Table1[[#This Row],[Eelarvekonto]],Table5[[Konto]:[Kontode alanimetus]],5,FALSE)</f>
        <v>Majandamiskulud</v>
      </c>
      <c r="R340" s="42" t="str">
        <f>VLOOKUP(Table1[[#This Row],[Tegevusala kood]],Table4[[Tegevusala kood]:[Tegevusala alanimetus]],4,FALSE)</f>
        <v>Muu elamu- ja kommunaalmajanduse tegevus</v>
      </c>
      <c r="S340" s="53"/>
      <c r="T340" s="53"/>
      <c r="U340" s="53">
        <f>Table1[[#This Row],[Summa]]+Table1[[#This Row],[I Muudatus]]+Table1[[#This Row],[II Muudatus]]</f>
        <v>1320</v>
      </c>
    </row>
    <row r="341" spans="1:21" ht="14.25" hidden="1" customHeight="1" x14ac:dyDescent="0.25">
      <c r="A341" s="41" t="s">
        <v>1068</v>
      </c>
      <c r="B341" s="41">
        <v>216</v>
      </c>
      <c r="C341" s="52">
        <v>5514</v>
      </c>
      <c r="D341" s="52" t="str">
        <f>LEFT(Table1[[#This Row],[Eelarvekonto]],2)</f>
        <v>55</v>
      </c>
      <c r="E341" s="41" t="str">
        <f>VLOOKUP(Table1[[#This Row],[Eelarvekonto]],Table5[[Konto]:[Konto nimetus]],2,FALSE)</f>
        <v>Info- ja kommunikatsioonitehnoloogia kulud</v>
      </c>
      <c r="F341" s="41" t="s">
        <v>139</v>
      </c>
      <c r="G341" s="41" t="s">
        <v>24</v>
      </c>
      <c r="J341" s="41" t="s">
        <v>320</v>
      </c>
      <c r="K341" s="41" t="s">
        <v>80</v>
      </c>
      <c r="L341" s="58" t="s">
        <v>319</v>
      </c>
      <c r="M341" s="58" t="str">
        <f>LEFT(Table1[[#This Row],[Tegevusala kood]],2)</f>
        <v>06</v>
      </c>
      <c r="N341" s="41" t="str">
        <f>VLOOKUP(Table1[[#This Row],[Tegevusala kood]],Table4[[Tegevusala kood]:[Tegevusala alanimetus]],2,FALSE)</f>
        <v>Roela, Tudu, Viru-Jaagupi teeninduspiirkond</v>
      </c>
      <c r="O341" s="41" t="s">
        <v>1</v>
      </c>
      <c r="P341" s="41" t="s">
        <v>1</v>
      </c>
      <c r="Q341" s="41" t="str">
        <f>VLOOKUP(Table1[[#This Row],[Eelarvekonto]],Table5[[Konto]:[Kontode alanimetus]],5,FALSE)</f>
        <v>Majandamiskulud</v>
      </c>
      <c r="R341" s="42" t="str">
        <f>VLOOKUP(Table1[[#This Row],[Tegevusala kood]],Table4[[Tegevusala kood]:[Tegevusala alanimetus]],4,FALSE)</f>
        <v>Muu elamu- ja kommunaalmajanduse tegevus</v>
      </c>
      <c r="S341" s="53"/>
      <c r="T341" s="53"/>
      <c r="U341" s="53">
        <f>Table1[[#This Row],[Summa]]+Table1[[#This Row],[I Muudatus]]+Table1[[#This Row],[II Muudatus]]</f>
        <v>216</v>
      </c>
    </row>
    <row r="342" spans="1:21" ht="14.25" hidden="1" customHeight="1" x14ac:dyDescent="0.25">
      <c r="A342" s="41" t="s">
        <v>1069</v>
      </c>
      <c r="B342" s="41">
        <v>14.4</v>
      </c>
      <c r="C342" s="52">
        <v>5500</v>
      </c>
      <c r="D342" s="52" t="str">
        <f>LEFT(Table1[[#This Row],[Eelarvekonto]],2)</f>
        <v>55</v>
      </c>
      <c r="E342" s="41" t="str">
        <f>VLOOKUP(Table1[[#This Row],[Eelarvekonto]],Table5[[Konto]:[Konto nimetus]],2,FALSE)</f>
        <v>Administreerimiskulud</v>
      </c>
      <c r="F342" s="41" t="s">
        <v>139</v>
      </c>
      <c r="G342" s="41" t="s">
        <v>24</v>
      </c>
      <c r="J342" s="41" t="s">
        <v>320</v>
      </c>
      <c r="K342" s="41" t="s">
        <v>80</v>
      </c>
      <c r="L342" s="58" t="s">
        <v>319</v>
      </c>
      <c r="M342" s="58" t="str">
        <f>LEFT(Table1[[#This Row],[Tegevusala kood]],2)</f>
        <v>06</v>
      </c>
      <c r="N342" s="41" t="str">
        <f>VLOOKUP(Table1[[#This Row],[Tegevusala kood]],Table4[[Tegevusala kood]:[Tegevusala alanimetus]],2,FALSE)</f>
        <v>Roela, Tudu, Viru-Jaagupi teeninduspiirkond</v>
      </c>
      <c r="O342" s="41" t="s">
        <v>1</v>
      </c>
      <c r="P342" s="41" t="s">
        <v>1</v>
      </c>
      <c r="Q342" s="41" t="str">
        <f>VLOOKUP(Table1[[#This Row],[Eelarvekonto]],Table5[[Konto]:[Kontode alanimetus]],5,FALSE)</f>
        <v>Majandamiskulud</v>
      </c>
      <c r="R342" s="42" t="str">
        <f>VLOOKUP(Table1[[#This Row],[Tegevusala kood]],Table4[[Tegevusala kood]:[Tegevusala alanimetus]],4,FALSE)</f>
        <v>Muu elamu- ja kommunaalmajanduse tegevus</v>
      </c>
      <c r="S342" s="53"/>
      <c r="T342" s="53"/>
      <c r="U342" s="53">
        <f>Table1[[#This Row],[Summa]]+Table1[[#This Row],[I Muudatus]]+Table1[[#This Row],[II Muudatus]]</f>
        <v>14.4</v>
      </c>
    </row>
    <row r="343" spans="1:21" ht="14.25" hidden="1" customHeight="1" x14ac:dyDescent="0.25">
      <c r="A343" s="41" t="s">
        <v>1070</v>
      </c>
      <c r="B343" s="41">
        <v>302.39999999999998</v>
      </c>
      <c r="C343" s="52">
        <v>5500</v>
      </c>
      <c r="D343" s="52" t="str">
        <f>LEFT(Table1[[#This Row],[Eelarvekonto]],2)</f>
        <v>55</v>
      </c>
      <c r="E343" s="41" t="str">
        <f>VLOOKUP(Table1[[#This Row],[Eelarvekonto]],Table5[[Konto]:[Konto nimetus]],2,FALSE)</f>
        <v>Administreerimiskulud</v>
      </c>
      <c r="F343" s="41" t="s">
        <v>139</v>
      </c>
      <c r="G343" s="41" t="s">
        <v>24</v>
      </c>
      <c r="J343" s="41" t="s">
        <v>320</v>
      </c>
      <c r="K343" s="41" t="s">
        <v>80</v>
      </c>
      <c r="L343" s="58" t="s">
        <v>319</v>
      </c>
      <c r="M343" s="58" t="str">
        <f>LEFT(Table1[[#This Row],[Tegevusala kood]],2)</f>
        <v>06</v>
      </c>
      <c r="N343" s="41" t="str">
        <f>VLOOKUP(Table1[[#This Row],[Tegevusala kood]],Table4[[Tegevusala kood]:[Tegevusala alanimetus]],2,FALSE)</f>
        <v>Roela, Tudu, Viru-Jaagupi teeninduspiirkond</v>
      </c>
      <c r="O343" s="41" t="s">
        <v>1</v>
      </c>
      <c r="P343" s="41" t="s">
        <v>1</v>
      </c>
      <c r="Q343" s="41" t="str">
        <f>VLOOKUP(Table1[[#This Row],[Eelarvekonto]],Table5[[Konto]:[Kontode alanimetus]],5,FALSE)</f>
        <v>Majandamiskulud</v>
      </c>
      <c r="R343" s="42" t="str">
        <f>VLOOKUP(Table1[[#This Row],[Tegevusala kood]],Table4[[Tegevusala kood]:[Tegevusala alanimetus]],4,FALSE)</f>
        <v>Muu elamu- ja kommunaalmajanduse tegevus</v>
      </c>
      <c r="S343" s="53"/>
      <c r="T343" s="53"/>
      <c r="U343" s="53">
        <f>Table1[[#This Row],[Summa]]+Table1[[#This Row],[I Muudatus]]+Table1[[#This Row],[II Muudatus]]</f>
        <v>302.39999999999998</v>
      </c>
    </row>
    <row r="344" spans="1:21" ht="14.25" hidden="1" customHeight="1" x14ac:dyDescent="0.25">
      <c r="A344" s="41" t="s">
        <v>591</v>
      </c>
      <c r="B344" s="41">
        <v>3000</v>
      </c>
      <c r="C344" s="52">
        <v>5511</v>
      </c>
      <c r="D344" s="52" t="str">
        <f>LEFT(Table1[[#This Row],[Eelarvekonto]],2)</f>
        <v>55</v>
      </c>
      <c r="E344" s="41" t="str">
        <f>VLOOKUP(Table1[[#This Row],[Eelarvekonto]],Table5[[Konto]:[Konto nimetus]],2,FALSE)</f>
        <v>Kinnistute, hoonete ja ruumide majandamiskulud</v>
      </c>
      <c r="F344" s="41" t="s">
        <v>139</v>
      </c>
      <c r="G344" s="41" t="s">
        <v>24</v>
      </c>
      <c r="J344" s="41" t="s">
        <v>320</v>
      </c>
      <c r="K344" s="41" t="s">
        <v>80</v>
      </c>
      <c r="L344" s="58" t="s">
        <v>319</v>
      </c>
      <c r="M344" s="58" t="str">
        <f>LEFT(Table1[[#This Row],[Tegevusala kood]],2)</f>
        <v>06</v>
      </c>
      <c r="N344" s="41" t="str">
        <f>VLOOKUP(Table1[[#This Row],[Tegevusala kood]],Table4[[Tegevusala kood]:[Tegevusala alanimetus]],2,FALSE)</f>
        <v>Roela, Tudu, Viru-Jaagupi teeninduspiirkond</v>
      </c>
      <c r="O344" s="41" t="s">
        <v>1</v>
      </c>
      <c r="P344" s="41" t="s">
        <v>1</v>
      </c>
      <c r="Q344" s="41" t="str">
        <f>VLOOKUP(Table1[[#This Row],[Eelarvekonto]],Table5[[Konto]:[Kontode alanimetus]],5,FALSE)</f>
        <v>Majandamiskulud</v>
      </c>
      <c r="R344" s="42" t="str">
        <f>VLOOKUP(Table1[[#This Row],[Tegevusala kood]],Table4[[Tegevusala kood]:[Tegevusala alanimetus]],4,FALSE)</f>
        <v>Muu elamu- ja kommunaalmajanduse tegevus</v>
      </c>
      <c r="S344" s="53"/>
      <c r="T344" s="53"/>
      <c r="U344" s="53">
        <f>Table1[[#This Row],[Summa]]+Table1[[#This Row],[I Muudatus]]+Table1[[#This Row],[II Muudatus]]</f>
        <v>3000</v>
      </c>
    </row>
    <row r="345" spans="1:21" ht="14.25" hidden="1" customHeight="1" x14ac:dyDescent="0.25">
      <c r="A345" s="41" t="s">
        <v>590</v>
      </c>
      <c r="B345" s="41">
        <v>4500</v>
      </c>
      <c r="C345" s="52">
        <v>5511</v>
      </c>
      <c r="D345" s="52" t="str">
        <f>LEFT(Table1[[#This Row],[Eelarvekonto]],2)</f>
        <v>55</v>
      </c>
      <c r="E345" s="41" t="str">
        <f>VLOOKUP(Table1[[#This Row],[Eelarvekonto]],Table5[[Konto]:[Konto nimetus]],2,FALSE)</f>
        <v>Kinnistute, hoonete ja ruumide majandamiskulud</v>
      </c>
      <c r="F345" s="41" t="s">
        <v>139</v>
      </c>
      <c r="G345" s="41" t="s">
        <v>24</v>
      </c>
      <c r="J345" s="41" t="s">
        <v>320</v>
      </c>
      <c r="K345" s="41" t="s">
        <v>80</v>
      </c>
      <c r="L345" s="58" t="s">
        <v>319</v>
      </c>
      <c r="M345" s="58" t="str">
        <f>LEFT(Table1[[#This Row],[Tegevusala kood]],2)</f>
        <v>06</v>
      </c>
      <c r="N345" s="41" t="str">
        <f>VLOOKUP(Table1[[#This Row],[Tegevusala kood]],Table4[[Tegevusala kood]:[Tegevusala alanimetus]],2,FALSE)</f>
        <v>Roela, Tudu, Viru-Jaagupi teeninduspiirkond</v>
      </c>
      <c r="O345" s="41" t="s">
        <v>1</v>
      </c>
      <c r="P345" s="41" t="s">
        <v>1</v>
      </c>
      <c r="Q345" s="41" t="str">
        <f>VLOOKUP(Table1[[#This Row],[Eelarvekonto]],Table5[[Konto]:[Kontode alanimetus]],5,FALSE)</f>
        <v>Majandamiskulud</v>
      </c>
      <c r="R345" s="42" t="str">
        <f>VLOOKUP(Table1[[#This Row],[Tegevusala kood]],Table4[[Tegevusala kood]:[Tegevusala alanimetus]],4,FALSE)</f>
        <v>Muu elamu- ja kommunaalmajanduse tegevus</v>
      </c>
      <c r="S345" s="53"/>
      <c r="T345" s="53"/>
      <c r="U345" s="53">
        <f>Table1[[#This Row],[Summa]]+Table1[[#This Row],[I Muudatus]]+Table1[[#This Row],[II Muudatus]]</f>
        <v>4500</v>
      </c>
    </row>
    <row r="346" spans="1:21" ht="14.25" hidden="1" customHeight="1" x14ac:dyDescent="0.25">
      <c r="A346" s="41" t="s">
        <v>589</v>
      </c>
      <c r="B346" s="41">
        <v>2400</v>
      </c>
      <c r="C346" s="52">
        <v>5511</v>
      </c>
      <c r="D346" s="52" t="str">
        <f>LEFT(Table1[[#This Row],[Eelarvekonto]],2)</f>
        <v>55</v>
      </c>
      <c r="E346" s="41" t="str">
        <f>VLOOKUP(Table1[[#This Row],[Eelarvekonto]],Table5[[Konto]:[Konto nimetus]],2,FALSE)</f>
        <v>Kinnistute, hoonete ja ruumide majandamiskulud</v>
      </c>
      <c r="F346" s="41" t="s">
        <v>139</v>
      </c>
      <c r="G346" s="41" t="s">
        <v>24</v>
      </c>
      <c r="J346" s="41" t="s">
        <v>320</v>
      </c>
      <c r="K346" s="41" t="s">
        <v>80</v>
      </c>
      <c r="L346" s="58" t="s">
        <v>319</v>
      </c>
      <c r="M346" s="58" t="str">
        <f>LEFT(Table1[[#This Row],[Tegevusala kood]],2)</f>
        <v>06</v>
      </c>
      <c r="N346" s="41" t="str">
        <f>VLOOKUP(Table1[[#This Row],[Tegevusala kood]],Table4[[Tegevusala kood]:[Tegevusala alanimetus]],2,FALSE)</f>
        <v>Roela, Tudu, Viru-Jaagupi teeninduspiirkond</v>
      </c>
      <c r="O346" s="41" t="s">
        <v>1</v>
      </c>
      <c r="P346" s="41" t="s">
        <v>1</v>
      </c>
      <c r="Q346" s="41" t="str">
        <f>VLOOKUP(Table1[[#This Row],[Eelarvekonto]],Table5[[Konto]:[Kontode alanimetus]],5,FALSE)</f>
        <v>Majandamiskulud</v>
      </c>
      <c r="R346" s="42" t="str">
        <f>VLOOKUP(Table1[[#This Row],[Tegevusala kood]],Table4[[Tegevusala kood]:[Tegevusala alanimetus]],4,FALSE)</f>
        <v>Muu elamu- ja kommunaalmajanduse tegevus</v>
      </c>
      <c r="S346" s="53"/>
      <c r="T346" s="53"/>
      <c r="U346" s="53">
        <f>Table1[[#This Row],[Summa]]+Table1[[#This Row],[I Muudatus]]+Table1[[#This Row],[II Muudatus]]</f>
        <v>2400</v>
      </c>
    </row>
    <row r="347" spans="1:21" ht="14.25" hidden="1" customHeight="1" x14ac:dyDescent="0.25">
      <c r="A347" s="41" t="s">
        <v>149</v>
      </c>
      <c r="B347" s="41">
        <v>15000</v>
      </c>
      <c r="C347" s="52">
        <v>551101</v>
      </c>
      <c r="D347" s="52" t="str">
        <f>LEFT(Table1[[#This Row],[Eelarvekonto]],2)</f>
        <v>55</v>
      </c>
      <c r="E347" s="41" t="str">
        <f>VLOOKUP(Table1[[#This Row],[Eelarvekonto]],Table5[[Konto]:[Konto nimetus]],2,FALSE)</f>
        <v>Elekter</v>
      </c>
      <c r="F347" s="41" t="s">
        <v>139</v>
      </c>
      <c r="G347" s="41" t="s">
        <v>24</v>
      </c>
      <c r="J347" s="41" t="s">
        <v>320</v>
      </c>
      <c r="K347" s="41" t="s">
        <v>80</v>
      </c>
      <c r="L347" s="58" t="s">
        <v>319</v>
      </c>
      <c r="M347" s="58" t="str">
        <f>LEFT(Table1[[#This Row],[Tegevusala kood]],2)</f>
        <v>06</v>
      </c>
      <c r="N347" s="41" t="str">
        <f>VLOOKUP(Table1[[#This Row],[Tegevusala kood]],Table4[[Tegevusala kood]:[Tegevusala alanimetus]],2,FALSE)</f>
        <v>Roela, Tudu, Viru-Jaagupi teeninduspiirkond</v>
      </c>
      <c r="O347" s="41" t="s">
        <v>1</v>
      </c>
      <c r="P347" s="41" t="s">
        <v>1</v>
      </c>
      <c r="Q347" s="41" t="str">
        <f>VLOOKUP(Table1[[#This Row],[Eelarvekonto]],Table5[[Konto]:[Kontode alanimetus]],5,FALSE)</f>
        <v>Majandamiskulud</v>
      </c>
      <c r="R347" s="42" t="str">
        <f>VLOOKUP(Table1[[#This Row],[Tegevusala kood]],Table4[[Tegevusala kood]:[Tegevusala alanimetus]],4,FALSE)</f>
        <v>Muu elamu- ja kommunaalmajanduse tegevus</v>
      </c>
      <c r="S347" s="53"/>
      <c r="T347" s="53"/>
      <c r="U347" s="53">
        <f>Table1[[#This Row],[Summa]]+Table1[[#This Row],[I Muudatus]]+Table1[[#This Row],[II Muudatus]]</f>
        <v>15000</v>
      </c>
    </row>
    <row r="348" spans="1:21" ht="14.25" hidden="1" customHeight="1" x14ac:dyDescent="0.25">
      <c r="A348" s="41" t="s">
        <v>171</v>
      </c>
      <c r="B348" s="41">
        <v>236.4</v>
      </c>
      <c r="C348" s="52">
        <v>5511</v>
      </c>
      <c r="D348" s="52" t="str">
        <f>LEFT(Table1[[#This Row],[Eelarvekonto]],2)</f>
        <v>55</v>
      </c>
      <c r="E348" s="41" t="str">
        <f>VLOOKUP(Table1[[#This Row],[Eelarvekonto]],Table5[[Konto]:[Konto nimetus]],2,FALSE)</f>
        <v>Kinnistute, hoonete ja ruumide majandamiskulud</v>
      </c>
      <c r="F348" s="41" t="s">
        <v>139</v>
      </c>
      <c r="G348" s="41" t="s">
        <v>24</v>
      </c>
      <c r="J348" s="41" t="s">
        <v>320</v>
      </c>
      <c r="K348" s="41" t="s">
        <v>80</v>
      </c>
      <c r="L348" s="58" t="s">
        <v>319</v>
      </c>
      <c r="M348" s="58" t="str">
        <f>LEFT(Table1[[#This Row],[Tegevusala kood]],2)</f>
        <v>06</v>
      </c>
      <c r="N348" s="41" t="str">
        <f>VLOOKUP(Table1[[#This Row],[Tegevusala kood]],Table4[[Tegevusala kood]:[Tegevusala alanimetus]],2,FALSE)</f>
        <v>Roela, Tudu, Viru-Jaagupi teeninduspiirkond</v>
      </c>
      <c r="O348" s="41" t="s">
        <v>1</v>
      </c>
      <c r="P348" s="41" t="s">
        <v>1</v>
      </c>
      <c r="Q348" s="41" t="str">
        <f>VLOOKUP(Table1[[#This Row],[Eelarvekonto]],Table5[[Konto]:[Kontode alanimetus]],5,FALSE)</f>
        <v>Majandamiskulud</v>
      </c>
      <c r="R348" s="42" t="str">
        <f>VLOOKUP(Table1[[#This Row],[Tegevusala kood]],Table4[[Tegevusala kood]:[Tegevusala alanimetus]],4,FALSE)</f>
        <v>Muu elamu- ja kommunaalmajanduse tegevus</v>
      </c>
      <c r="S348" s="53"/>
      <c r="T348" s="53"/>
      <c r="U348" s="53">
        <f>Table1[[#This Row],[Summa]]+Table1[[#This Row],[I Muudatus]]+Table1[[#This Row],[II Muudatus]]</f>
        <v>236.4</v>
      </c>
    </row>
    <row r="349" spans="1:21" ht="14.25" hidden="1" customHeight="1" x14ac:dyDescent="0.25">
      <c r="A349" s="41" t="s">
        <v>484</v>
      </c>
      <c r="B349" s="41">
        <v>1200</v>
      </c>
      <c r="C349" s="52">
        <v>5511</v>
      </c>
      <c r="D349" s="52" t="str">
        <f>LEFT(Table1[[#This Row],[Eelarvekonto]],2)</f>
        <v>55</v>
      </c>
      <c r="E349" s="41" t="str">
        <f>VLOOKUP(Table1[[#This Row],[Eelarvekonto]],Table5[[Konto]:[Konto nimetus]],2,FALSE)</f>
        <v>Kinnistute, hoonete ja ruumide majandamiskulud</v>
      </c>
      <c r="F349" s="41" t="s">
        <v>139</v>
      </c>
      <c r="G349" s="41" t="s">
        <v>24</v>
      </c>
      <c r="J349" s="41" t="s">
        <v>320</v>
      </c>
      <c r="K349" s="41" t="s">
        <v>80</v>
      </c>
      <c r="L349" s="58" t="s">
        <v>319</v>
      </c>
      <c r="M349" s="58" t="str">
        <f>LEFT(Table1[[#This Row],[Tegevusala kood]],2)</f>
        <v>06</v>
      </c>
      <c r="N349" s="41" t="str">
        <f>VLOOKUP(Table1[[#This Row],[Tegevusala kood]],Table4[[Tegevusala kood]:[Tegevusala alanimetus]],2,FALSE)</f>
        <v>Roela, Tudu, Viru-Jaagupi teeninduspiirkond</v>
      </c>
      <c r="O349" s="41" t="s">
        <v>1</v>
      </c>
      <c r="P349" s="41" t="s">
        <v>1</v>
      </c>
      <c r="Q349" s="41" t="str">
        <f>VLOOKUP(Table1[[#This Row],[Eelarvekonto]],Table5[[Konto]:[Kontode alanimetus]],5,FALSE)</f>
        <v>Majandamiskulud</v>
      </c>
      <c r="R349" s="42" t="str">
        <f>VLOOKUP(Table1[[#This Row],[Tegevusala kood]],Table4[[Tegevusala kood]:[Tegevusala alanimetus]],4,FALSE)</f>
        <v>Muu elamu- ja kommunaalmajanduse tegevus</v>
      </c>
      <c r="S349" s="53"/>
      <c r="T349" s="53"/>
      <c r="U349" s="53">
        <f>Table1[[#This Row],[Summa]]+Table1[[#This Row],[I Muudatus]]+Table1[[#This Row],[II Muudatus]]</f>
        <v>1200</v>
      </c>
    </row>
    <row r="350" spans="1:21" ht="14.25" hidden="1" customHeight="1" x14ac:dyDescent="0.25">
      <c r="A350" s="41" t="s">
        <v>588</v>
      </c>
      <c r="B350" s="41">
        <v>804</v>
      </c>
      <c r="C350" s="52">
        <v>5511</v>
      </c>
      <c r="D350" s="52" t="str">
        <f>LEFT(Table1[[#This Row],[Eelarvekonto]],2)</f>
        <v>55</v>
      </c>
      <c r="E350" s="41" t="str">
        <f>VLOOKUP(Table1[[#This Row],[Eelarvekonto]],Table5[[Konto]:[Konto nimetus]],2,FALSE)</f>
        <v>Kinnistute, hoonete ja ruumide majandamiskulud</v>
      </c>
      <c r="F350" s="41" t="s">
        <v>139</v>
      </c>
      <c r="G350" s="41" t="s">
        <v>24</v>
      </c>
      <c r="J350" s="41" t="s">
        <v>320</v>
      </c>
      <c r="K350" s="41" t="s">
        <v>80</v>
      </c>
      <c r="L350" s="58" t="s">
        <v>319</v>
      </c>
      <c r="M350" s="58" t="str">
        <f>LEFT(Table1[[#This Row],[Tegevusala kood]],2)</f>
        <v>06</v>
      </c>
      <c r="N350" s="41" t="str">
        <f>VLOOKUP(Table1[[#This Row],[Tegevusala kood]],Table4[[Tegevusala kood]:[Tegevusala alanimetus]],2,FALSE)</f>
        <v>Roela, Tudu, Viru-Jaagupi teeninduspiirkond</v>
      </c>
      <c r="O350" s="41" t="s">
        <v>1</v>
      </c>
      <c r="P350" s="41" t="s">
        <v>1</v>
      </c>
      <c r="Q350" s="41" t="str">
        <f>VLOOKUP(Table1[[#This Row],[Eelarvekonto]],Table5[[Konto]:[Kontode alanimetus]],5,FALSE)</f>
        <v>Majandamiskulud</v>
      </c>
      <c r="R350" s="42" t="str">
        <f>VLOOKUP(Table1[[#This Row],[Tegevusala kood]],Table4[[Tegevusala kood]:[Tegevusala alanimetus]],4,FALSE)</f>
        <v>Muu elamu- ja kommunaalmajanduse tegevus</v>
      </c>
      <c r="S350" s="53"/>
      <c r="T350" s="53"/>
      <c r="U350" s="53">
        <f>Table1[[#This Row],[Summa]]+Table1[[#This Row],[I Muudatus]]+Table1[[#This Row],[II Muudatus]]</f>
        <v>804</v>
      </c>
    </row>
    <row r="351" spans="1:21" ht="14.25" hidden="1" customHeight="1" x14ac:dyDescent="0.25">
      <c r="A351" s="41" t="s">
        <v>587</v>
      </c>
      <c r="B351" s="41">
        <v>750</v>
      </c>
      <c r="C351" s="52">
        <v>5511</v>
      </c>
      <c r="D351" s="52" t="str">
        <f>LEFT(Table1[[#This Row],[Eelarvekonto]],2)</f>
        <v>55</v>
      </c>
      <c r="E351" s="41" t="str">
        <f>VLOOKUP(Table1[[#This Row],[Eelarvekonto]],Table5[[Konto]:[Konto nimetus]],2,FALSE)</f>
        <v>Kinnistute, hoonete ja ruumide majandamiskulud</v>
      </c>
      <c r="F351" s="41" t="s">
        <v>139</v>
      </c>
      <c r="G351" s="41" t="s">
        <v>24</v>
      </c>
      <c r="J351" s="41" t="s">
        <v>320</v>
      </c>
      <c r="K351" s="41" t="s">
        <v>80</v>
      </c>
      <c r="L351" s="58" t="s">
        <v>319</v>
      </c>
      <c r="M351" s="58" t="str">
        <f>LEFT(Table1[[#This Row],[Tegevusala kood]],2)</f>
        <v>06</v>
      </c>
      <c r="N351" s="41" t="str">
        <f>VLOOKUP(Table1[[#This Row],[Tegevusala kood]],Table4[[Tegevusala kood]:[Tegevusala alanimetus]],2,FALSE)</f>
        <v>Roela, Tudu, Viru-Jaagupi teeninduspiirkond</v>
      </c>
      <c r="O351" s="41" t="s">
        <v>1</v>
      </c>
      <c r="P351" s="41" t="s">
        <v>1</v>
      </c>
      <c r="Q351" s="41" t="str">
        <f>VLOOKUP(Table1[[#This Row],[Eelarvekonto]],Table5[[Konto]:[Kontode alanimetus]],5,FALSE)</f>
        <v>Majandamiskulud</v>
      </c>
      <c r="R351" s="42" t="str">
        <f>VLOOKUP(Table1[[#This Row],[Tegevusala kood]],Table4[[Tegevusala kood]:[Tegevusala alanimetus]],4,FALSE)</f>
        <v>Muu elamu- ja kommunaalmajanduse tegevus</v>
      </c>
      <c r="S351" s="53"/>
      <c r="T351" s="53"/>
      <c r="U351" s="53">
        <f>Table1[[#This Row],[Summa]]+Table1[[#This Row],[I Muudatus]]+Table1[[#This Row],[II Muudatus]]</f>
        <v>750</v>
      </c>
    </row>
    <row r="352" spans="1:21" ht="14.25" hidden="1" customHeight="1" x14ac:dyDescent="0.25">
      <c r="A352" s="41" t="s">
        <v>586</v>
      </c>
      <c r="B352" s="41">
        <v>1800</v>
      </c>
      <c r="C352" s="52">
        <v>551102</v>
      </c>
      <c r="D352" s="52" t="str">
        <f>LEFT(Table1[[#This Row],[Eelarvekonto]],2)</f>
        <v>55</v>
      </c>
      <c r="E352" s="41" t="str">
        <f>VLOOKUP(Table1[[#This Row],[Eelarvekonto]],Table5[[Konto]:[Konto nimetus]],2,FALSE)</f>
        <v>Vesi ja kanalisatsioon</v>
      </c>
      <c r="F352" s="41" t="s">
        <v>139</v>
      </c>
      <c r="G352" s="41" t="s">
        <v>24</v>
      </c>
      <c r="J352" s="41" t="s">
        <v>320</v>
      </c>
      <c r="K352" s="41" t="s">
        <v>80</v>
      </c>
      <c r="L352" s="58" t="s">
        <v>319</v>
      </c>
      <c r="M352" s="58" t="str">
        <f>LEFT(Table1[[#This Row],[Tegevusala kood]],2)</f>
        <v>06</v>
      </c>
      <c r="N352" s="41" t="str">
        <f>VLOOKUP(Table1[[#This Row],[Tegevusala kood]],Table4[[Tegevusala kood]:[Tegevusala alanimetus]],2,FALSE)</f>
        <v>Roela, Tudu, Viru-Jaagupi teeninduspiirkond</v>
      </c>
      <c r="O352" s="41" t="s">
        <v>1</v>
      </c>
      <c r="P352" s="41" t="s">
        <v>1</v>
      </c>
      <c r="Q352" s="41" t="str">
        <f>VLOOKUP(Table1[[#This Row],[Eelarvekonto]],Table5[[Konto]:[Kontode alanimetus]],5,FALSE)</f>
        <v>Majandamiskulud</v>
      </c>
      <c r="R352" s="42" t="str">
        <f>VLOOKUP(Table1[[#This Row],[Tegevusala kood]],Table4[[Tegevusala kood]:[Tegevusala alanimetus]],4,FALSE)</f>
        <v>Muu elamu- ja kommunaalmajanduse tegevus</v>
      </c>
      <c r="S352" s="53"/>
      <c r="T352" s="53"/>
      <c r="U352" s="53">
        <f>Table1[[#This Row],[Summa]]+Table1[[#This Row],[I Muudatus]]+Table1[[#This Row],[II Muudatus]]</f>
        <v>1800</v>
      </c>
    </row>
    <row r="353" spans="1:21" ht="14.25" hidden="1" customHeight="1" x14ac:dyDescent="0.25">
      <c r="A353" s="41" t="s">
        <v>325</v>
      </c>
      <c r="B353" s="41">
        <v>2280</v>
      </c>
      <c r="C353" s="52">
        <v>5005</v>
      </c>
      <c r="D353" s="52" t="str">
        <f>LEFT(Table1[[#This Row],[Eelarvekonto]],2)</f>
        <v>50</v>
      </c>
      <c r="E353" s="41" t="str">
        <f>VLOOKUP(Table1[[#This Row],[Eelarvekonto]],Table5[[Konto]:[Konto nimetus]],2,FALSE)</f>
        <v>Töötasud võlaõiguslike lepingute alusel</v>
      </c>
      <c r="F353" s="41" t="s">
        <v>139</v>
      </c>
      <c r="G353" s="41" t="s">
        <v>24</v>
      </c>
      <c r="J353" s="41" t="s">
        <v>320</v>
      </c>
      <c r="K353" s="41" t="s">
        <v>80</v>
      </c>
      <c r="L353" s="58" t="s">
        <v>319</v>
      </c>
      <c r="M353" s="58" t="str">
        <f>LEFT(Table1[[#This Row],[Tegevusala kood]],2)</f>
        <v>06</v>
      </c>
      <c r="N353" s="41" t="str">
        <f>VLOOKUP(Table1[[#This Row],[Tegevusala kood]],Table4[[Tegevusala kood]:[Tegevusala alanimetus]],2,FALSE)</f>
        <v>Roela, Tudu, Viru-Jaagupi teeninduspiirkond</v>
      </c>
      <c r="O353" s="41" t="s">
        <v>1</v>
      </c>
      <c r="P353" s="41" t="s">
        <v>1</v>
      </c>
      <c r="Q353" s="41" t="str">
        <f>VLOOKUP(Table1[[#This Row],[Eelarvekonto]],Table5[[Konto]:[Kontode alanimetus]],5,FALSE)</f>
        <v>Tööjõukulud</v>
      </c>
      <c r="R353" s="42" t="str">
        <f>VLOOKUP(Table1[[#This Row],[Tegevusala kood]],Table4[[Tegevusala kood]:[Tegevusala alanimetus]],4,FALSE)</f>
        <v>Muu elamu- ja kommunaalmajanduse tegevus</v>
      </c>
      <c r="S353" s="60"/>
      <c r="T353" s="53"/>
      <c r="U353" s="53">
        <f>Table1[[#This Row],[Summa]]+Table1[[#This Row],[I Muudatus]]+Table1[[#This Row],[II Muudatus]]</f>
        <v>2280</v>
      </c>
    </row>
    <row r="354" spans="1:21" ht="14.25" hidden="1" customHeight="1" x14ac:dyDescent="0.25">
      <c r="A354" s="42" t="s">
        <v>585</v>
      </c>
      <c r="B354" s="42">
        <v>3924</v>
      </c>
      <c r="C354" s="53">
        <v>5002</v>
      </c>
      <c r="D354" s="53" t="str">
        <f>LEFT(Table1[[#This Row],[Eelarvekonto]],2)</f>
        <v>50</v>
      </c>
      <c r="E354" s="42" t="str">
        <f>VLOOKUP(Table1[[#This Row],[Eelarvekonto]],Table5[[Konto]:[Konto nimetus]],2,FALSE)</f>
        <v>Töötajate töötasud</v>
      </c>
      <c r="F354" s="42" t="s">
        <v>139</v>
      </c>
      <c r="G354" s="42" t="s">
        <v>24</v>
      </c>
      <c r="H354" s="42"/>
      <c r="I354" s="42"/>
      <c r="J354" s="42" t="s">
        <v>320</v>
      </c>
      <c r="K354" s="42" t="s">
        <v>80</v>
      </c>
      <c r="L354" s="62" t="s">
        <v>319</v>
      </c>
      <c r="M354" s="62" t="str">
        <f>LEFT(Table1[[#This Row],[Tegevusala kood]],2)</f>
        <v>06</v>
      </c>
      <c r="N354" s="42" t="str">
        <f>VLOOKUP(Table1[[#This Row],[Tegevusala kood]],Table4[[Tegevusala kood]:[Tegevusala alanimetus]],2,FALSE)</f>
        <v>Roela, Tudu, Viru-Jaagupi teeninduspiirkond</v>
      </c>
      <c r="O354" s="42" t="s">
        <v>1</v>
      </c>
      <c r="P354" s="42" t="s">
        <v>1</v>
      </c>
      <c r="Q354" s="42" t="str">
        <f>VLOOKUP(Table1[[#This Row],[Eelarvekonto]],Table5[[Konto]:[Kontode alanimetus]],5,FALSE)</f>
        <v>Tööjõukulud</v>
      </c>
      <c r="R354" s="42" t="str">
        <f>VLOOKUP(Table1[[#This Row],[Tegevusala kood]],Table4[[Tegevusala kood]:[Tegevusala alanimetus]],4,FALSE)</f>
        <v>Muu elamu- ja kommunaalmajanduse tegevus</v>
      </c>
      <c r="S354" s="53"/>
      <c r="T354" s="53"/>
      <c r="U354" s="53">
        <f>Table1[[#This Row],[Summa]]+Table1[[#This Row],[I Muudatus]]+Table1[[#This Row],[II Muudatus]]</f>
        <v>3924</v>
      </c>
    </row>
    <row r="355" spans="1:21" ht="14.25" hidden="1" customHeight="1" x14ac:dyDescent="0.25">
      <c r="A355" s="107" t="s">
        <v>584</v>
      </c>
      <c r="B355" s="107">
        <v>3924</v>
      </c>
      <c r="C355" s="108">
        <v>5002</v>
      </c>
      <c r="D355" s="108" t="str">
        <f>LEFT(Table1[[#This Row],[Eelarvekonto]],2)</f>
        <v>50</v>
      </c>
      <c r="E355" s="107" t="str">
        <f>VLOOKUP(Table1[[#This Row],[Eelarvekonto]],Table5[[Konto]:[Konto nimetus]],2,FALSE)</f>
        <v>Töötajate töötasud</v>
      </c>
      <c r="F355" s="107" t="s">
        <v>139</v>
      </c>
      <c r="G355" s="107" t="s">
        <v>24</v>
      </c>
      <c r="H355" s="107"/>
      <c r="I355" s="107"/>
      <c r="J355" s="107" t="s">
        <v>320</v>
      </c>
      <c r="K355" s="107" t="s">
        <v>80</v>
      </c>
      <c r="L355" s="109" t="s">
        <v>319</v>
      </c>
      <c r="M355" s="109" t="str">
        <f>LEFT(Table1[[#This Row],[Tegevusala kood]],2)</f>
        <v>06</v>
      </c>
      <c r="N355" s="107" t="str">
        <f>VLOOKUP(Table1[[#This Row],[Tegevusala kood]],Table4[[Tegevusala kood]:[Tegevusala alanimetus]],2,FALSE)</f>
        <v>Roela, Tudu, Viru-Jaagupi teeninduspiirkond</v>
      </c>
      <c r="O355" s="107" t="s">
        <v>1</v>
      </c>
      <c r="P355" s="107" t="s">
        <v>1</v>
      </c>
      <c r="Q355" s="107" t="str">
        <f>VLOOKUP(Table1[[#This Row],[Eelarvekonto]],Table5[[Konto]:[Kontode alanimetus]],5,FALSE)</f>
        <v>Tööjõukulud</v>
      </c>
      <c r="R355" s="107" t="str">
        <f>VLOOKUP(Table1[[#This Row],[Tegevusala kood]],Table4[[Tegevusala kood]:[Tegevusala alanimetus]],4,FALSE)</f>
        <v>Muu elamu- ja kommunaalmajanduse tegevus</v>
      </c>
      <c r="S355" s="108"/>
      <c r="T355" s="108"/>
      <c r="U355" s="108">
        <f>Table1[[#This Row],[Summa]]+Table1[[#This Row],[I Muudatus]]+Table1[[#This Row],[II Muudatus]]</f>
        <v>3924</v>
      </c>
    </row>
    <row r="356" spans="1:21" ht="14.25" hidden="1" customHeight="1" x14ac:dyDescent="0.25">
      <c r="A356" s="107" t="s">
        <v>583</v>
      </c>
      <c r="B356" s="107">
        <v>3924</v>
      </c>
      <c r="C356" s="108">
        <v>5002</v>
      </c>
      <c r="D356" s="108" t="str">
        <f>LEFT(Table1[[#This Row],[Eelarvekonto]],2)</f>
        <v>50</v>
      </c>
      <c r="E356" s="107" t="str">
        <f>VLOOKUP(Table1[[#This Row],[Eelarvekonto]],Table5[[Konto]:[Konto nimetus]],2,FALSE)</f>
        <v>Töötajate töötasud</v>
      </c>
      <c r="F356" s="107" t="s">
        <v>139</v>
      </c>
      <c r="G356" s="107" t="s">
        <v>24</v>
      </c>
      <c r="H356" s="107"/>
      <c r="I356" s="107"/>
      <c r="J356" s="107" t="s">
        <v>320</v>
      </c>
      <c r="K356" s="107" t="s">
        <v>80</v>
      </c>
      <c r="L356" s="109" t="s">
        <v>319</v>
      </c>
      <c r="M356" s="109" t="str">
        <f>LEFT(Table1[[#This Row],[Tegevusala kood]],2)</f>
        <v>06</v>
      </c>
      <c r="N356" s="107" t="str">
        <f>VLOOKUP(Table1[[#This Row],[Tegevusala kood]],Table4[[Tegevusala kood]:[Tegevusala alanimetus]],2,FALSE)</f>
        <v>Roela, Tudu, Viru-Jaagupi teeninduspiirkond</v>
      </c>
      <c r="O356" s="107" t="s">
        <v>1</v>
      </c>
      <c r="P356" s="107" t="s">
        <v>1</v>
      </c>
      <c r="Q356" s="107" t="str">
        <f>VLOOKUP(Table1[[#This Row],[Eelarvekonto]],Table5[[Konto]:[Kontode alanimetus]],5,FALSE)</f>
        <v>Tööjõukulud</v>
      </c>
      <c r="R356" s="107" t="str">
        <f>VLOOKUP(Table1[[#This Row],[Tegevusala kood]],Table4[[Tegevusala kood]:[Tegevusala alanimetus]],4,FALSE)</f>
        <v>Muu elamu- ja kommunaalmajanduse tegevus</v>
      </c>
      <c r="S356" s="108"/>
      <c r="T356" s="108"/>
      <c r="U356" s="108">
        <f>Table1[[#This Row],[Summa]]+Table1[[#This Row],[I Muudatus]]+Table1[[#This Row],[II Muudatus]]</f>
        <v>3924</v>
      </c>
    </row>
    <row r="357" spans="1:21" ht="14.25" hidden="1" customHeight="1" x14ac:dyDescent="0.25">
      <c r="A357" s="41" t="s">
        <v>582</v>
      </c>
      <c r="B357" s="41">
        <v>7848</v>
      </c>
      <c r="C357" s="52">
        <v>5002</v>
      </c>
      <c r="D357" s="52" t="str">
        <f>LEFT(Table1[[#This Row],[Eelarvekonto]],2)</f>
        <v>50</v>
      </c>
      <c r="E357" s="41" t="str">
        <f>VLOOKUP(Table1[[#This Row],[Eelarvekonto]],Table5[[Konto]:[Konto nimetus]],2,FALSE)</f>
        <v>Töötajate töötasud</v>
      </c>
      <c r="F357" s="41" t="s">
        <v>139</v>
      </c>
      <c r="G357" s="41" t="s">
        <v>24</v>
      </c>
      <c r="J357" s="41" t="s">
        <v>320</v>
      </c>
      <c r="K357" s="41" t="s">
        <v>80</v>
      </c>
      <c r="L357" s="58" t="s">
        <v>319</v>
      </c>
      <c r="M357" s="58" t="str">
        <f>LEFT(Table1[[#This Row],[Tegevusala kood]],2)</f>
        <v>06</v>
      </c>
      <c r="N357" s="41" t="str">
        <f>VLOOKUP(Table1[[#This Row],[Tegevusala kood]],Table4[[Tegevusala kood]:[Tegevusala alanimetus]],2,FALSE)</f>
        <v>Roela, Tudu, Viru-Jaagupi teeninduspiirkond</v>
      </c>
      <c r="O357" s="41" t="s">
        <v>1</v>
      </c>
      <c r="P357" s="41" t="s">
        <v>1</v>
      </c>
      <c r="Q357" s="41" t="str">
        <f>VLOOKUP(Table1[[#This Row],[Eelarvekonto]],Table5[[Konto]:[Kontode alanimetus]],5,FALSE)</f>
        <v>Tööjõukulud</v>
      </c>
      <c r="R357" s="42" t="str">
        <f>VLOOKUP(Table1[[#This Row],[Tegevusala kood]],Table4[[Tegevusala kood]:[Tegevusala alanimetus]],4,FALSE)</f>
        <v>Muu elamu- ja kommunaalmajanduse tegevus</v>
      </c>
      <c r="S357" s="53"/>
      <c r="T357" s="53"/>
      <c r="U357" s="53">
        <f>Table1[[#This Row],[Summa]]+Table1[[#This Row],[I Muudatus]]+Table1[[#This Row],[II Muudatus]]</f>
        <v>7848</v>
      </c>
    </row>
    <row r="358" spans="1:21" ht="14.25" hidden="1" customHeight="1" x14ac:dyDescent="0.25">
      <c r="A358" s="41" t="s">
        <v>565</v>
      </c>
      <c r="B358" s="41">
        <v>19560</v>
      </c>
      <c r="C358" s="52">
        <v>5002</v>
      </c>
      <c r="D358" s="52" t="str">
        <f>LEFT(Table1[[#This Row],[Eelarvekonto]],2)</f>
        <v>50</v>
      </c>
      <c r="E358" s="41" t="str">
        <f>VLOOKUP(Table1[[#This Row],[Eelarvekonto]],Table5[[Konto]:[Konto nimetus]],2,FALSE)</f>
        <v>Töötajate töötasud</v>
      </c>
      <c r="F358" s="41" t="s">
        <v>139</v>
      </c>
      <c r="G358" s="41" t="s">
        <v>24</v>
      </c>
      <c r="J358" s="41" t="s">
        <v>320</v>
      </c>
      <c r="K358" s="41" t="s">
        <v>80</v>
      </c>
      <c r="L358" s="58" t="s">
        <v>319</v>
      </c>
      <c r="M358" s="58" t="str">
        <f>LEFT(Table1[[#This Row],[Tegevusala kood]],2)</f>
        <v>06</v>
      </c>
      <c r="N358" s="41" t="str">
        <f>VLOOKUP(Table1[[#This Row],[Tegevusala kood]],Table4[[Tegevusala kood]:[Tegevusala alanimetus]],2,FALSE)</f>
        <v>Roela, Tudu, Viru-Jaagupi teeninduspiirkond</v>
      </c>
      <c r="O358" s="41" t="s">
        <v>1</v>
      </c>
      <c r="P358" s="41" t="s">
        <v>1</v>
      </c>
      <c r="Q358" s="41" t="str">
        <f>VLOOKUP(Table1[[#This Row],[Eelarvekonto]],Table5[[Konto]:[Kontode alanimetus]],5,FALSE)</f>
        <v>Tööjõukulud</v>
      </c>
      <c r="R358" s="42" t="str">
        <f>VLOOKUP(Table1[[#This Row],[Tegevusala kood]],Table4[[Tegevusala kood]:[Tegevusala alanimetus]],4,FALSE)</f>
        <v>Muu elamu- ja kommunaalmajanduse tegevus</v>
      </c>
      <c r="S358" s="53"/>
      <c r="T358" s="53"/>
      <c r="U358" s="53">
        <f>Table1[[#This Row],[Summa]]+Table1[[#This Row],[I Muudatus]]+Table1[[#This Row],[II Muudatus]]</f>
        <v>19560</v>
      </c>
    </row>
    <row r="359" spans="1:21" ht="14.25" hidden="1" customHeight="1" x14ac:dyDescent="0.25">
      <c r="A359" s="41" t="s">
        <v>158</v>
      </c>
      <c r="B359" s="41">
        <v>31567.85</v>
      </c>
      <c r="C359" s="52">
        <v>506</v>
      </c>
      <c r="D359" s="52" t="str">
        <f>LEFT(Table1[[#This Row],[Eelarvekonto]],2)</f>
        <v>50</v>
      </c>
      <c r="E359" s="41" t="str">
        <f>VLOOKUP(Table1[[#This Row],[Eelarvekonto]],Table5[[Konto]:[Konto nimetus]],2,FALSE)</f>
        <v>Tööjõukuludega kaasnevad maksud ja sotsiaalkindlustusmaksed</v>
      </c>
      <c r="F359" s="41" t="s">
        <v>139</v>
      </c>
      <c r="G359" s="41" t="s">
        <v>24</v>
      </c>
      <c r="J359" s="41" t="s">
        <v>167</v>
      </c>
      <c r="K359" s="41" t="s">
        <v>165</v>
      </c>
      <c r="L359" s="58" t="s">
        <v>166</v>
      </c>
      <c r="M359" s="58" t="str">
        <f>LEFT(Table1[[#This Row],[Tegevusala kood]],2)</f>
        <v>10</v>
      </c>
      <c r="N359" s="41" t="str">
        <f>VLOOKUP(Table1[[#This Row],[Tegevusala kood]],Table4[[Tegevusala kood]:[Tegevusala alanimetus]],2,FALSE)</f>
        <v>Tammiku Kodu</v>
      </c>
      <c r="O359" s="41" t="s">
        <v>1</v>
      </c>
      <c r="P359" s="41" t="s">
        <v>1</v>
      </c>
      <c r="Q359" s="41" t="str">
        <f>VLOOKUP(Table1[[#This Row],[Eelarvekonto]],Table5[[Konto]:[Kontode alanimetus]],5,FALSE)</f>
        <v>Tööjõukulud</v>
      </c>
      <c r="R359" s="42" t="str">
        <f>VLOOKUP(Table1[[#This Row],[Tegevusala kood]],Table4[[Tegevusala kood]:[Tegevusala alanimetus]],4,FALSE)</f>
        <v>Eakate sotsiaalhoolekande asutused</v>
      </c>
      <c r="S359" s="53"/>
      <c r="T359" s="53"/>
      <c r="U359" s="53">
        <f>Table1[[#This Row],[Summa]]+Table1[[#This Row],[I Muudatus]]+Table1[[#This Row],[II Muudatus]]</f>
        <v>31567.85</v>
      </c>
    </row>
    <row r="360" spans="1:21" ht="14.25" hidden="1" customHeight="1" x14ac:dyDescent="0.25">
      <c r="A360" s="41" t="s">
        <v>473</v>
      </c>
      <c r="B360" s="41">
        <v>9000</v>
      </c>
      <c r="C360" s="52">
        <v>5002</v>
      </c>
      <c r="D360" s="52" t="str">
        <f>LEFT(Table1[[#This Row],[Eelarvekonto]],2)</f>
        <v>50</v>
      </c>
      <c r="E360" s="41" t="str">
        <f>VLOOKUP(Table1[[#This Row],[Eelarvekonto]],Table5[[Konto]:[Konto nimetus]],2,FALSE)</f>
        <v>Töötajate töötasud</v>
      </c>
      <c r="F360" s="41" t="s">
        <v>139</v>
      </c>
      <c r="G360" s="41" t="s">
        <v>24</v>
      </c>
      <c r="J360" s="41" t="s">
        <v>167</v>
      </c>
      <c r="K360" s="41" t="s">
        <v>165</v>
      </c>
      <c r="L360" s="58" t="s">
        <v>166</v>
      </c>
      <c r="M360" s="58" t="str">
        <f>LEFT(Table1[[#This Row],[Tegevusala kood]],2)</f>
        <v>10</v>
      </c>
      <c r="N360" s="41" t="str">
        <f>VLOOKUP(Table1[[#This Row],[Tegevusala kood]],Table4[[Tegevusala kood]:[Tegevusala alanimetus]],2,FALSE)</f>
        <v>Tammiku Kodu</v>
      </c>
      <c r="O360" s="41" t="s">
        <v>1</v>
      </c>
      <c r="P360" s="41" t="s">
        <v>1</v>
      </c>
      <c r="Q360" s="41" t="str">
        <f>VLOOKUP(Table1[[#This Row],[Eelarvekonto]],Table5[[Konto]:[Kontode alanimetus]],5,FALSE)</f>
        <v>Tööjõukulud</v>
      </c>
      <c r="R360" s="42" t="str">
        <f>VLOOKUP(Table1[[#This Row],[Tegevusala kood]],Table4[[Tegevusala kood]:[Tegevusala alanimetus]],4,FALSE)</f>
        <v>Eakate sotsiaalhoolekande asutused</v>
      </c>
      <c r="S360" s="53"/>
      <c r="T360" s="53"/>
      <c r="U360" s="53">
        <f>Table1[[#This Row],[Summa]]+Table1[[#This Row],[I Muudatus]]+Table1[[#This Row],[II Muudatus]]</f>
        <v>9000</v>
      </c>
    </row>
    <row r="361" spans="1:21" ht="14.25" hidden="1" customHeight="1" x14ac:dyDescent="0.25">
      <c r="A361" s="41" t="s">
        <v>473</v>
      </c>
      <c r="B361" s="41">
        <v>9000</v>
      </c>
      <c r="C361" s="52">
        <v>5002</v>
      </c>
      <c r="D361" s="52" t="str">
        <f>LEFT(Table1[[#This Row],[Eelarvekonto]],2)</f>
        <v>50</v>
      </c>
      <c r="E361" s="41" t="str">
        <f>VLOOKUP(Table1[[#This Row],[Eelarvekonto]],Table5[[Konto]:[Konto nimetus]],2,FALSE)</f>
        <v>Töötajate töötasud</v>
      </c>
      <c r="F361" s="41" t="s">
        <v>139</v>
      </c>
      <c r="G361" s="41" t="s">
        <v>24</v>
      </c>
      <c r="J361" s="41" t="s">
        <v>167</v>
      </c>
      <c r="K361" s="41" t="s">
        <v>165</v>
      </c>
      <c r="L361" s="58" t="s">
        <v>166</v>
      </c>
      <c r="M361" s="58" t="str">
        <f>LEFT(Table1[[#This Row],[Tegevusala kood]],2)</f>
        <v>10</v>
      </c>
      <c r="N361" s="41" t="str">
        <f>VLOOKUP(Table1[[#This Row],[Tegevusala kood]],Table4[[Tegevusala kood]:[Tegevusala alanimetus]],2,FALSE)</f>
        <v>Tammiku Kodu</v>
      </c>
      <c r="O361" s="41" t="s">
        <v>1</v>
      </c>
      <c r="P361" s="41" t="s">
        <v>1</v>
      </c>
      <c r="Q361" s="41" t="str">
        <f>VLOOKUP(Table1[[#This Row],[Eelarvekonto]],Table5[[Konto]:[Kontode alanimetus]],5,FALSE)</f>
        <v>Tööjõukulud</v>
      </c>
      <c r="R361" s="42" t="str">
        <f>VLOOKUP(Table1[[#This Row],[Tegevusala kood]],Table4[[Tegevusala kood]:[Tegevusala alanimetus]],4,FALSE)</f>
        <v>Eakate sotsiaalhoolekande asutused</v>
      </c>
      <c r="S361" s="53"/>
      <c r="T361" s="53"/>
      <c r="U361" s="53">
        <f>Table1[[#This Row],[Summa]]+Table1[[#This Row],[I Muudatus]]+Table1[[#This Row],[II Muudatus]]</f>
        <v>9000</v>
      </c>
    </row>
    <row r="362" spans="1:21" ht="14.25" hidden="1" customHeight="1" x14ac:dyDescent="0.25">
      <c r="A362" s="41" t="s">
        <v>1132</v>
      </c>
      <c r="B362" s="41">
        <v>768</v>
      </c>
      <c r="C362" s="52">
        <v>5002</v>
      </c>
      <c r="D362" s="52" t="str">
        <f>LEFT(Table1[[#This Row],[Eelarvekonto]],2)</f>
        <v>50</v>
      </c>
      <c r="E362" s="41" t="str">
        <f>VLOOKUP(Table1[[#This Row],[Eelarvekonto]],Table5[[Konto]:[Konto nimetus]],2,FALSE)</f>
        <v>Töötajate töötasud</v>
      </c>
      <c r="F362" s="41" t="s">
        <v>139</v>
      </c>
      <c r="G362" s="41" t="s">
        <v>24</v>
      </c>
      <c r="J362" s="41" t="s">
        <v>264</v>
      </c>
      <c r="K362" s="41" t="s">
        <v>263</v>
      </c>
      <c r="L362" s="58" t="s">
        <v>266</v>
      </c>
      <c r="M362" s="58" t="str">
        <f>LEFT(Table1[[#This Row],[Tegevusala kood]],2)</f>
        <v>09</v>
      </c>
      <c r="N362" s="41" t="str">
        <f>VLOOKUP(Table1[[#This Row],[Tegevusala kood]],Table4[[Tegevusala kood]:[Tegevusala alanimetus]],2,FALSE)</f>
        <v>Roela kool</v>
      </c>
      <c r="O362" s="41" t="s">
        <v>1</v>
      </c>
      <c r="P362" s="41" t="s">
        <v>1</v>
      </c>
      <c r="Q362" s="41" t="str">
        <f>VLOOKUP(Table1[[#This Row],[Eelarvekonto]],Table5[[Konto]:[Kontode alanimetus]],5,FALSE)</f>
        <v>Tööjõukulud</v>
      </c>
      <c r="R362" s="42" t="str">
        <f>VLOOKUP(Table1[[#This Row],[Tegevusala kood]],Table4[[Tegevusala kood]:[Tegevusala alanimetus]],4,FALSE)</f>
        <v>Põhihariduse otsekulud</v>
      </c>
      <c r="S362" s="53"/>
      <c r="T362" s="53"/>
      <c r="U362" s="53">
        <f>Table1[[#This Row],[Summa]]+Table1[[#This Row],[I Muudatus]]+Table1[[#This Row],[II Muudatus]]</f>
        <v>768</v>
      </c>
    </row>
    <row r="363" spans="1:21" ht="14.25" hidden="1" customHeight="1" x14ac:dyDescent="0.25">
      <c r="A363" s="41" t="s">
        <v>473</v>
      </c>
      <c r="B363" s="41">
        <v>9240</v>
      </c>
      <c r="C363" s="52">
        <v>5002</v>
      </c>
      <c r="D363" s="52" t="str">
        <f>LEFT(Table1[[#This Row],[Eelarvekonto]],2)</f>
        <v>50</v>
      </c>
      <c r="E363" s="41" t="str">
        <f>VLOOKUP(Table1[[#This Row],[Eelarvekonto]],Table5[[Konto]:[Konto nimetus]],2,FALSE)</f>
        <v>Töötajate töötasud</v>
      </c>
      <c r="F363" s="41" t="s">
        <v>139</v>
      </c>
      <c r="G363" s="41" t="s">
        <v>24</v>
      </c>
      <c r="J363" s="41" t="s">
        <v>167</v>
      </c>
      <c r="K363" s="41" t="s">
        <v>165</v>
      </c>
      <c r="L363" s="58" t="s">
        <v>166</v>
      </c>
      <c r="M363" s="58" t="str">
        <f>LEFT(Table1[[#This Row],[Tegevusala kood]],2)</f>
        <v>10</v>
      </c>
      <c r="N363" s="41" t="str">
        <f>VLOOKUP(Table1[[#This Row],[Tegevusala kood]],Table4[[Tegevusala kood]:[Tegevusala alanimetus]],2,FALSE)</f>
        <v>Tammiku Kodu</v>
      </c>
      <c r="O363" s="41" t="s">
        <v>1</v>
      </c>
      <c r="P363" s="41" t="s">
        <v>1</v>
      </c>
      <c r="Q363" s="41" t="str">
        <f>VLOOKUP(Table1[[#This Row],[Eelarvekonto]],Table5[[Konto]:[Kontode alanimetus]],5,FALSE)</f>
        <v>Tööjõukulud</v>
      </c>
      <c r="R363" s="42" t="str">
        <f>VLOOKUP(Table1[[#This Row],[Tegevusala kood]],Table4[[Tegevusala kood]:[Tegevusala alanimetus]],4,FALSE)</f>
        <v>Eakate sotsiaalhoolekande asutused</v>
      </c>
      <c r="S363" s="53"/>
      <c r="T363" s="53"/>
      <c r="U363" s="53">
        <f>Table1[[#This Row],[Summa]]+Table1[[#This Row],[I Muudatus]]+Table1[[#This Row],[II Muudatus]]</f>
        <v>9240</v>
      </c>
    </row>
    <row r="364" spans="1:21" ht="14.25" hidden="1" customHeight="1" x14ac:dyDescent="0.25">
      <c r="A364" s="41" t="s">
        <v>474</v>
      </c>
      <c r="B364" s="41">
        <v>9000</v>
      </c>
      <c r="C364" s="52">
        <v>5002</v>
      </c>
      <c r="D364" s="52" t="str">
        <f>LEFT(Table1[[#This Row],[Eelarvekonto]],2)</f>
        <v>50</v>
      </c>
      <c r="E364" s="41" t="str">
        <f>VLOOKUP(Table1[[#This Row],[Eelarvekonto]],Table5[[Konto]:[Konto nimetus]],2,FALSE)</f>
        <v>Töötajate töötasud</v>
      </c>
      <c r="F364" s="41" t="s">
        <v>139</v>
      </c>
      <c r="G364" s="41" t="s">
        <v>24</v>
      </c>
      <c r="J364" s="41" t="s">
        <v>167</v>
      </c>
      <c r="K364" s="41" t="s">
        <v>165</v>
      </c>
      <c r="L364" s="58" t="s">
        <v>166</v>
      </c>
      <c r="M364" s="58" t="str">
        <f>LEFT(Table1[[#This Row],[Tegevusala kood]],2)</f>
        <v>10</v>
      </c>
      <c r="N364" s="41" t="str">
        <f>VLOOKUP(Table1[[#This Row],[Tegevusala kood]],Table4[[Tegevusala kood]:[Tegevusala alanimetus]],2,FALSE)</f>
        <v>Tammiku Kodu</v>
      </c>
      <c r="O364" s="41" t="s">
        <v>1</v>
      </c>
      <c r="P364" s="41" t="s">
        <v>1</v>
      </c>
      <c r="Q364" s="41" t="str">
        <f>VLOOKUP(Table1[[#This Row],[Eelarvekonto]],Table5[[Konto]:[Kontode alanimetus]],5,FALSE)</f>
        <v>Tööjõukulud</v>
      </c>
      <c r="R364" s="42" t="str">
        <f>VLOOKUP(Table1[[#This Row],[Tegevusala kood]],Table4[[Tegevusala kood]:[Tegevusala alanimetus]],4,FALSE)</f>
        <v>Eakate sotsiaalhoolekande asutused</v>
      </c>
      <c r="S364" s="53"/>
      <c r="T364" s="53"/>
      <c r="U364" s="53">
        <f>Table1[[#This Row],[Summa]]+Table1[[#This Row],[I Muudatus]]+Table1[[#This Row],[II Muudatus]]</f>
        <v>9000</v>
      </c>
    </row>
    <row r="365" spans="1:21" ht="14.25" hidden="1" customHeight="1" x14ac:dyDescent="0.25">
      <c r="A365" s="41" t="s">
        <v>473</v>
      </c>
      <c r="B365" s="41">
        <v>9000</v>
      </c>
      <c r="C365" s="52">
        <v>5002</v>
      </c>
      <c r="D365" s="52" t="str">
        <f>LEFT(Table1[[#This Row],[Eelarvekonto]],2)</f>
        <v>50</v>
      </c>
      <c r="E365" s="41" t="str">
        <f>VLOOKUP(Table1[[#This Row],[Eelarvekonto]],Table5[[Konto]:[Konto nimetus]],2,FALSE)</f>
        <v>Töötajate töötasud</v>
      </c>
      <c r="F365" s="41" t="s">
        <v>139</v>
      </c>
      <c r="G365" s="41" t="s">
        <v>24</v>
      </c>
      <c r="J365" s="41" t="s">
        <v>167</v>
      </c>
      <c r="K365" s="41" t="s">
        <v>165</v>
      </c>
      <c r="L365" s="58" t="s">
        <v>166</v>
      </c>
      <c r="M365" s="58" t="str">
        <f>LEFT(Table1[[#This Row],[Tegevusala kood]],2)</f>
        <v>10</v>
      </c>
      <c r="N365" s="41" t="str">
        <f>VLOOKUP(Table1[[#This Row],[Tegevusala kood]],Table4[[Tegevusala kood]:[Tegevusala alanimetus]],2,FALSE)</f>
        <v>Tammiku Kodu</v>
      </c>
      <c r="O365" s="41" t="s">
        <v>1</v>
      </c>
      <c r="P365" s="41" t="s">
        <v>1</v>
      </c>
      <c r="Q365" s="41" t="str">
        <f>VLOOKUP(Table1[[#This Row],[Eelarvekonto]],Table5[[Konto]:[Kontode alanimetus]],5,FALSE)</f>
        <v>Tööjõukulud</v>
      </c>
      <c r="R365" s="42" t="str">
        <f>VLOOKUP(Table1[[#This Row],[Tegevusala kood]],Table4[[Tegevusala kood]:[Tegevusala alanimetus]],4,FALSE)</f>
        <v>Eakate sotsiaalhoolekande asutused</v>
      </c>
      <c r="S365" s="53"/>
      <c r="T365" s="53"/>
      <c r="U365" s="53">
        <f>Table1[[#This Row],[Summa]]+Table1[[#This Row],[I Muudatus]]+Table1[[#This Row],[II Muudatus]]</f>
        <v>9000</v>
      </c>
    </row>
    <row r="366" spans="1:21" ht="14.25" hidden="1" customHeight="1" x14ac:dyDescent="0.25">
      <c r="A366" s="41" t="s">
        <v>470</v>
      </c>
      <c r="B366" s="41">
        <v>9120</v>
      </c>
      <c r="C366" s="52">
        <v>5002</v>
      </c>
      <c r="D366" s="52" t="str">
        <f>LEFT(Table1[[#This Row],[Eelarvekonto]],2)</f>
        <v>50</v>
      </c>
      <c r="E366" s="41" t="str">
        <f>VLOOKUP(Table1[[#This Row],[Eelarvekonto]],Table5[[Konto]:[Konto nimetus]],2,FALSE)</f>
        <v>Töötajate töötasud</v>
      </c>
      <c r="F366" s="41" t="s">
        <v>139</v>
      </c>
      <c r="G366" s="41" t="s">
        <v>24</v>
      </c>
      <c r="J366" s="41" t="s">
        <v>264</v>
      </c>
      <c r="K366" s="41" t="s">
        <v>263</v>
      </c>
      <c r="L366" s="58" t="s">
        <v>266</v>
      </c>
      <c r="M366" s="58" t="str">
        <f>LEFT(Table1[[#This Row],[Tegevusala kood]],2)</f>
        <v>09</v>
      </c>
      <c r="N366" s="41" t="str">
        <f>VLOOKUP(Table1[[#This Row],[Tegevusala kood]],Table4[[Tegevusala kood]:[Tegevusala alanimetus]],2,FALSE)</f>
        <v>Roela kool</v>
      </c>
      <c r="O366" s="41" t="s">
        <v>1</v>
      </c>
      <c r="P366" s="41" t="s">
        <v>1</v>
      </c>
      <c r="Q366" s="41" t="str">
        <f>VLOOKUP(Table1[[#This Row],[Eelarvekonto]],Table5[[Konto]:[Kontode alanimetus]],5,FALSE)</f>
        <v>Tööjõukulud</v>
      </c>
      <c r="R366" s="42" t="str">
        <f>VLOOKUP(Table1[[#This Row],[Tegevusala kood]],Table4[[Tegevusala kood]:[Tegevusala alanimetus]],4,FALSE)</f>
        <v>Põhihariduse otsekulud</v>
      </c>
      <c r="S366" s="53"/>
      <c r="T366" s="53"/>
      <c r="U366" s="53">
        <f>Table1[[#This Row],[Summa]]+Table1[[#This Row],[I Muudatus]]+Table1[[#This Row],[II Muudatus]]</f>
        <v>9120</v>
      </c>
    </row>
    <row r="367" spans="1:21" ht="14.25" hidden="1" customHeight="1" x14ac:dyDescent="0.25">
      <c r="A367" s="41" t="s">
        <v>473</v>
      </c>
      <c r="B367" s="41">
        <v>9000</v>
      </c>
      <c r="C367" s="52">
        <v>5002</v>
      </c>
      <c r="D367" s="52" t="str">
        <f>LEFT(Table1[[#This Row],[Eelarvekonto]],2)</f>
        <v>50</v>
      </c>
      <c r="E367" s="41" t="str">
        <f>VLOOKUP(Table1[[#This Row],[Eelarvekonto]],Table5[[Konto]:[Konto nimetus]],2,FALSE)</f>
        <v>Töötajate töötasud</v>
      </c>
      <c r="F367" s="41" t="s">
        <v>139</v>
      </c>
      <c r="G367" s="41" t="s">
        <v>24</v>
      </c>
      <c r="J367" s="41" t="s">
        <v>167</v>
      </c>
      <c r="K367" s="41" t="s">
        <v>165</v>
      </c>
      <c r="L367" s="58" t="s">
        <v>166</v>
      </c>
      <c r="M367" s="58" t="str">
        <f>LEFT(Table1[[#This Row],[Tegevusala kood]],2)</f>
        <v>10</v>
      </c>
      <c r="N367" s="41" t="str">
        <f>VLOOKUP(Table1[[#This Row],[Tegevusala kood]],Table4[[Tegevusala kood]:[Tegevusala alanimetus]],2,FALSE)</f>
        <v>Tammiku Kodu</v>
      </c>
      <c r="O367" s="41" t="s">
        <v>1</v>
      </c>
      <c r="P367" s="41" t="s">
        <v>1</v>
      </c>
      <c r="Q367" s="41" t="str">
        <f>VLOOKUP(Table1[[#This Row],[Eelarvekonto]],Table5[[Konto]:[Kontode alanimetus]],5,FALSE)</f>
        <v>Tööjõukulud</v>
      </c>
      <c r="R367" s="42" t="str">
        <f>VLOOKUP(Table1[[#This Row],[Tegevusala kood]],Table4[[Tegevusala kood]:[Tegevusala alanimetus]],4,FALSE)</f>
        <v>Eakate sotsiaalhoolekande asutused</v>
      </c>
      <c r="S367" s="53"/>
      <c r="T367" s="53"/>
      <c r="U367" s="53">
        <f>Table1[[#This Row],[Summa]]+Table1[[#This Row],[I Muudatus]]+Table1[[#This Row],[II Muudatus]]</f>
        <v>9000</v>
      </c>
    </row>
    <row r="368" spans="1:21" ht="14.25" hidden="1" customHeight="1" x14ac:dyDescent="0.25">
      <c r="A368" s="41" t="s">
        <v>471</v>
      </c>
      <c r="B368" s="41">
        <v>3924</v>
      </c>
      <c r="C368" s="52">
        <v>5002</v>
      </c>
      <c r="D368" s="52" t="str">
        <f>LEFT(Table1[[#This Row],[Eelarvekonto]],2)</f>
        <v>50</v>
      </c>
      <c r="E368" s="41" t="str">
        <f>VLOOKUP(Table1[[#This Row],[Eelarvekonto]],Table5[[Konto]:[Konto nimetus]],2,FALSE)</f>
        <v>Töötajate töötasud</v>
      </c>
      <c r="F368" s="41" t="s">
        <v>139</v>
      </c>
      <c r="G368" s="41" t="s">
        <v>24</v>
      </c>
      <c r="J368" s="41" t="s">
        <v>167</v>
      </c>
      <c r="K368" s="41" t="s">
        <v>165</v>
      </c>
      <c r="L368" s="58" t="s">
        <v>166</v>
      </c>
      <c r="M368" s="58" t="str">
        <f>LEFT(Table1[[#This Row],[Tegevusala kood]],2)</f>
        <v>10</v>
      </c>
      <c r="N368" s="41" t="str">
        <f>VLOOKUP(Table1[[#This Row],[Tegevusala kood]],Table4[[Tegevusala kood]:[Tegevusala alanimetus]],2,FALSE)</f>
        <v>Tammiku Kodu</v>
      </c>
      <c r="O368" s="41" t="s">
        <v>1</v>
      </c>
      <c r="P368" s="41" t="s">
        <v>1</v>
      </c>
      <c r="Q368" s="41" t="str">
        <f>VLOOKUP(Table1[[#This Row],[Eelarvekonto]],Table5[[Konto]:[Kontode alanimetus]],5,FALSE)</f>
        <v>Tööjõukulud</v>
      </c>
      <c r="R368" s="42" t="str">
        <f>VLOOKUP(Table1[[#This Row],[Tegevusala kood]],Table4[[Tegevusala kood]:[Tegevusala alanimetus]],4,FALSE)</f>
        <v>Eakate sotsiaalhoolekande asutused</v>
      </c>
      <c r="S368" s="53"/>
      <c r="T368" s="53"/>
      <c r="U368" s="53">
        <f>Table1[[#This Row],[Summa]]+Table1[[#This Row],[I Muudatus]]+Table1[[#This Row],[II Muudatus]]</f>
        <v>3924</v>
      </c>
    </row>
    <row r="369" spans="1:21" ht="14.25" hidden="1" customHeight="1" x14ac:dyDescent="0.25">
      <c r="A369" s="41" t="s">
        <v>462</v>
      </c>
      <c r="B369" s="41">
        <v>11592</v>
      </c>
      <c r="C369" s="52">
        <v>5002</v>
      </c>
      <c r="D369" s="52" t="str">
        <f>LEFT(Table1[[#This Row],[Eelarvekonto]],2)</f>
        <v>50</v>
      </c>
      <c r="E369" s="41" t="str">
        <f>VLOOKUP(Table1[[#This Row],[Eelarvekonto]],Table5[[Konto]:[Konto nimetus]],2,FALSE)</f>
        <v>Töötajate töötasud</v>
      </c>
      <c r="F369" s="41" t="s">
        <v>139</v>
      </c>
      <c r="G369" s="41" t="s">
        <v>24</v>
      </c>
      <c r="J369" s="41" t="s">
        <v>167</v>
      </c>
      <c r="K369" s="41" t="s">
        <v>165</v>
      </c>
      <c r="L369" s="58" t="s">
        <v>166</v>
      </c>
      <c r="M369" s="58" t="str">
        <f>LEFT(Table1[[#This Row],[Tegevusala kood]],2)</f>
        <v>10</v>
      </c>
      <c r="N369" s="41" t="str">
        <f>VLOOKUP(Table1[[#This Row],[Tegevusala kood]],Table4[[Tegevusala kood]:[Tegevusala alanimetus]],2,FALSE)</f>
        <v>Tammiku Kodu</v>
      </c>
      <c r="O369" s="41" t="s">
        <v>1</v>
      </c>
      <c r="P369" s="41" t="s">
        <v>1</v>
      </c>
      <c r="Q369" s="41" t="str">
        <f>VLOOKUP(Table1[[#This Row],[Eelarvekonto]],Table5[[Konto]:[Kontode alanimetus]],5,FALSE)</f>
        <v>Tööjõukulud</v>
      </c>
      <c r="R369" s="42" t="str">
        <f>VLOOKUP(Table1[[#This Row],[Tegevusala kood]],Table4[[Tegevusala kood]:[Tegevusala alanimetus]],4,FALSE)</f>
        <v>Eakate sotsiaalhoolekande asutused</v>
      </c>
      <c r="S369" s="53"/>
      <c r="T369" s="53"/>
      <c r="U369" s="53">
        <f>Table1[[#This Row],[Summa]]+Table1[[#This Row],[I Muudatus]]+Table1[[#This Row],[II Muudatus]]</f>
        <v>11592</v>
      </c>
    </row>
    <row r="370" spans="1:21" ht="14.25" hidden="1" customHeight="1" x14ac:dyDescent="0.25">
      <c r="A370" s="41" t="s">
        <v>1071</v>
      </c>
      <c r="B370" s="41">
        <v>250</v>
      </c>
      <c r="C370" s="52">
        <v>5513</v>
      </c>
      <c r="D370" s="52" t="str">
        <f>LEFT(Table1[[#This Row],[Eelarvekonto]],2)</f>
        <v>55</v>
      </c>
      <c r="E370" s="41" t="str">
        <f>VLOOKUP(Table1[[#This Row],[Eelarvekonto]],Table5[[Konto]:[Konto nimetus]],2,FALSE)</f>
        <v>Sõidukite ülalpidamise kulud</v>
      </c>
      <c r="F370" s="41" t="s">
        <v>139</v>
      </c>
      <c r="G370" s="41" t="s">
        <v>24</v>
      </c>
      <c r="J370" s="41" t="s">
        <v>258</v>
      </c>
      <c r="K370" s="41" t="s">
        <v>256</v>
      </c>
      <c r="L370" s="58" t="s">
        <v>257</v>
      </c>
      <c r="M370" s="58" t="str">
        <f>LEFT(Table1[[#This Row],[Tegevusala kood]],2)</f>
        <v>09</v>
      </c>
      <c r="N370" s="41" t="str">
        <f>VLOOKUP(Table1[[#This Row],[Tegevusala kood]],Table4[[Tegevusala kood]:[Tegevusala alanimetus]],2,FALSE)</f>
        <v>Tudu kool</v>
      </c>
      <c r="O370" s="41" t="s">
        <v>1</v>
      </c>
      <c r="P370" s="41" t="s">
        <v>1</v>
      </c>
      <c r="Q370" s="41" t="str">
        <f>VLOOKUP(Table1[[#This Row],[Eelarvekonto]],Table5[[Konto]:[Kontode alanimetus]],5,FALSE)</f>
        <v>Majandamiskulud</v>
      </c>
      <c r="R370" s="42" t="str">
        <f>VLOOKUP(Table1[[#This Row],[Tegevusala kood]],Table4[[Tegevusala kood]:[Tegevusala alanimetus]],4,FALSE)</f>
        <v>Põhihariduse otsekulud</v>
      </c>
      <c r="S370" s="53"/>
      <c r="T370" s="53"/>
      <c r="U370" s="53">
        <f>Table1[[#This Row],[Summa]]+Table1[[#This Row],[I Muudatus]]+Table1[[#This Row],[II Muudatus]]</f>
        <v>250</v>
      </c>
    </row>
    <row r="371" spans="1:21" ht="14.25" hidden="1" customHeight="1" x14ac:dyDescent="0.25">
      <c r="A371" s="41" t="s">
        <v>1072</v>
      </c>
      <c r="B371" s="41">
        <v>3332.68</v>
      </c>
      <c r="C371" s="52">
        <v>5521</v>
      </c>
      <c r="D371" s="52" t="str">
        <f>LEFT(Table1[[#This Row],[Eelarvekonto]],2)</f>
        <v>55</v>
      </c>
      <c r="E371" s="41" t="str">
        <f>VLOOKUP(Table1[[#This Row],[Eelarvekonto]],Table5[[Konto]:[Konto nimetus]],2,FALSE)</f>
        <v>Toiduained ja toitlustusteenused</v>
      </c>
      <c r="F371" s="41" t="s">
        <v>139</v>
      </c>
      <c r="G371" s="41" t="s">
        <v>24</v>
      </c>
      <c r="J371" s="41" t="s">
        <v>258</v>
      </c>
      <c r="K371" s="41" t="s">
        <v>256</v>
      </c>
      <c r="L371" s="58" t="s">
        <v>257</v>
      </c>
      <c r="M371" s="58" t="str">
        <f>LEFT(Table1[[#This Row],[Tegevusala kood]],2)</f>
        <v>09</v>
      </c>
      <c r="N371" s="41" t="str">
        <f>VLOOKUP(Table1[[#This Row],[Tegevusala kood]],Table4[[Tegevusala kood]:[Tegevusala alanimetus]],2,FALSE)</f>
        <v>Tudu kool</v>
      </c>
      <c r="O371" s="41" t="s">
        <v>1</v>
      </c>
      <c r="P371" s="41" t="s">
        <v>1</v>
      </c>
      <c r="Q371" s="41" t="str">
        <f>VLOOKUP(Table1[[#This Row],[Eelarvekonto]],Table5[[Konto]:[Kontode alanimetus]],5,FALSE)</f>
        <v>Majandamiskulud</v>
      </c>
      <c r="R371" s="42" t="str">
        <f>VLOOKUP(Table1[[#This Row],[Tegevusala kood]],Table4[[Tegevusala kood]:[Tegevusala alanimetus]],4,FALSE)</f>
        <v>Põhihariduse otsekulud</v>
      </c>
      <c r="S371" s="53"/>
      <c r="T371" s="53"/>
      <c r="U371" s="53">
        <f>Table1[[#This Row],[Summa]]+Table1[[#This Row],[I Muudatus]]+Table1[[#This Row],[II Muudatus]]</f>
        <v>3332.68</v>
      </c>
    </row>
    <row r="372" spans="1:21" ht="14.25" hidden="1" customHeight="1" x14ac:dyDescent="0.25">
      <c r="A372" s="41" t="s">
        <v>1015</v>
      </c>
      <c r="B372" s="41">
        <v>1980</v>
      </c>
      <c r="C372" s="52">
        <v>5521</v>
      </c>
      <c r="D372" s="52" t="str">
        <f>LEFT(Table1[[#This Row],[Eelarvekonto]],2)</f>
        <v>55</v>
      </c>
      <c r="E372" s="41" t="str">
        <f>VLOOKUP(Table1[[#This Row],[Eelarvekonto]],Table5[[Konto]:[Konto nimetus]],2,FALSE)</f>
        <v>Toiduained ja toitlustusteenused</v>
      </c>
      <c r="F372" s="41" t="s">
        <v>139</v>
      </c>
      <c r="G372" s="41" t="s">
        <v>24</v>
      </c>
      <c r="J372" s="41" t="s">
        <v>258</v>
      </c>
      <c r="K372" s="41" t="s">
        <v>256</v>
      </c>
      <c r="L372" s="58" t="s">
        <v>257</v>
      </c>
      <c r="M372" s="58" t="str">
        <f>LEFT(Table1[[#This Row],[Tegevusala kood]],2)</f>
        <v>09</v>
      </c>
      <c r="N372" s="41" t="str">
        <f>VLOOKUP(Table1[[#This Row],[Tegevusala kood]],Table4[[Tegevusala kood]:[Tegevusala alanimetus]],2,FALSE)</f>
        <v>Tudu kool</v>
      </c>
      <c r="O372" s="41" t="s">
        <v>1</v>
      </c>
      <c r="P372" s="41" t="s">
        <v>1</v>
      </c>
      <c r="Q372" s="41" t="str">
        <f>VLOOKUP(Table1[[#This Row],[Eelarvekonto]],Table5[[Konto]:[Kontode alanimetus]],5,FALSE)</f>
        <v>Majandamiskulud</v>
      </c>
      <c r="R372" s="42" t="str">
        <f>VLOOKUP(Table1[[#This Row],[Tegevusala kood]],Table4[[Tegevusala kood]:[Tegevusala alanimetus]],4,FALSE)</f>
        <v>Põhihariduse otsekulud</v>
      </c>
      <c r="S372" s="53"/>
      <c r="T372" s="53"/>
      <c r="U372" s="53">
        <f>Table1[[#This Row],[Summa]]+Table1[[#This Row],[I Muudatus]]+Table1[[#This Row],[II Muudatus]]</f>
        <v>1980</v>
      </c>
    </row>
    <row r="373" spans="1:21" ht="14.25" hidden="1" customHeight="1" x14ac:dyDescent="0.25">
      <c r="A373" s="41" t="s">
        <v>527</v>
      </c>
      <c r="B373" s="41">
        <v>1168</v>
      </c>
      <c r="C373" s="52">
        <v>5005</v>
      </c>
      <c r="D373" s="52" t="str">
        <f>LEFT(Table1[[#This Row],[Eelarvekonto]],2)</f>
        <v>50</v>
      </c>
      <c r="E373" s="41" t="str">
        <f>VLOOKUP(Table1[[#This Row],[Eelarvekonto]],Table5[[Konto]:[Konto nimetus]],2,FALSE)</f>
        <v>Töötasud võlaõiguslike lepingute alusel</v>
      </c>
      <c r="F373" s="41" t="s">
        <v>139</v>
      </c>
      <c r="G373" s="41" t="s">
        <v>24</v>
      </c>
      <c r="J373" s="41" t="s">
        <v>258</v>
      </c>
      <c r="K373" s="41" t="s">
        <v>256</v>
      </c>
      <c r="L373" s="58" t="s">
        <v>257</v>
      </c>
      <c r="M373" s="58" t="str">
        <f>LEFT(Table1[[#This Row],[Tegevusala kood]],2)</f>
        <v>09</v>
      </c>
      <c r="N373" s="41" t="str">
        <f>VLOOKUP(Table1[[#This Row],[Tegevusala kood]],Table4[[Tegevusala kood]:[Tegevusala alanimetus]],2,FALSE)</f>
        <v>Tudu kool</v>
      </c>
      <c r="O373" s="41" t="s">
        <v>1</v>
      </c>
      <c r="P373" s="41" t="s">
        <v>1</v>
      </c>
      <c r="Q373" s="41" t="str">
        <f>VLOOKUP(Table1[[#This Row],[Eelarvekonto]],Table5[[Konto]:[Kontode alanimetus]],5,FALSE)</f>
        <v>Tööjõukulud</v>
      </c>
      <c r="R373" s="42" t="str">
        <f>VLOOKUP(Table1[[#This Row],[Tegevusala kood]],Table4[[Tegevusala kood]:[Tegevusala alanimetus]],4,FALSE)</f>
        <v>Põhihariduse otsekulud</v>
      </c>
      <c r="S373" s="53"/>
      <c r="T373" s="53"/>
      <c r="U373" s="53">
        <f>Table1[[#This Row],[Summa]]+Table1[[#This Row],[I Muudatus]]+Table1[[#This Row],[II Muudatus]]</f>
        <v>1168</v>
      </c>
    </row>
    <row r="374" spans="1:21" ht="14.25" hidden="1" customHeight="1" x14ac:dyDescent="0.25">
      <c r="A374" s="41" t="s">
        <v>148</v>
      </c>
      <c r="B374" s="41">
        <v>29970</v>
      </c>
      <c r="C374" s="52">
        <v>551100</v>
      </c>
      <c r="D374" s="52" t="str">
        <f>LEFT(Table1[[#This Row],[Eelarvekonto]],2)</f>
        <v>55</v>
      </c>
      <c r="E374" s="41" t="str">
        <f>VLOOKUP(Table1[[#This Row],[Eelarvekonto]],Table5[[Konto]:[Konto nimetus]],2,FALSE)</f>
        <v>Küte ja soojusenergia</v>
      </c>
      <c r="F374" s="41" t="s">
        <v>139</v>
      </c>
      <c r="G374" s="41" t="s">
        <v>24</v>
      </c>
      <c r="J374" s="41" t="s">
        <v>258</v>
      </c>
      <c r="K374" s="41" t="s">
        <v>256</v>
      </c>
      <c r="L374" s="58" t="s">
        <v>257</v>
      </c>
      <c r="M374" s="58" t="str">
        <f>LEFT(Table1[[#This Row],[Tegevusala kood]],2)</f>
        <v>09</v>
      </c>
      <c r="N374" s="41" t="str">
        <f>VLOOKUP(Table1[[#This Row],[Tegevusala kood]],Table4[[Tegevusala kood]:[Tegevusala alanimetus]],2,FALSE)</f>
        <v>Tudu kool</v>
      </c>
      <c r="O374" s="41" t="s">
        <v>1</v>
      </c>
      <c r="P374" s="41" t="s">
        <v>1</v>
      </c>
      <c r="Q374" s="41" t="str">
        <f>VLOOKUP(Table1[[#This Row],[Eelarvekonto]],Table5[[Konto]:[Kontode alanimetus]],5,FALSE)</f>
        <v>Majandamiskulud</v>
      </c>
      <c r="R374" s="42" t="str">
        <f>VLOOKUP(Table1[[#This Row],[Tegevusala kood]],Table4[[Tegevusala kood]:[Tegevusala alanimetus]],4,FALSE)</f>
        <v>Põhihariduse otsekulud</v>
      </c>
      <c r="S374" s="53"/>
      <c r="T374" s="53"/>
      <c r="U374" s="53">
        <f>Table1[[#This Row],[Summa]]+Table1[[#This Row],[I Muudatus]]+Table1[[#This Row],[II Muudatus]]</f>
        <v>29970</v>
      </c>
    </row>
    <row r="375" spans="1:21" ht="14.25" hidden="1" customHeight="1" x14ac:dyDescent="0.25">
      <c r="A375" s="41" t="s">
        <v>301</v>
      </c>
      <c r="B375" s="41">
        <v>2880</v>
      </c>
      <c r="C375" s="52">
        <v>5002</v>
      </c>
      <c r="D375" s="52" t="str">
        <f>LEFT(Table1[[#This Row],[Eelarvekonto]],2)</f>
        <v>50</v>
      </c>
      <c r="E375" s="41" t="str">
        <f>VLOOKUP(Table1[[#This Row],[Eelarvekonto]],Table5[[Konto]:[Konto nimetus]],2,FALSE)</f>
        <v>Töötajate töötasud</v>
      </c>
      <c r="F375" s="41" t="s">
        <v>139</v>
      </c>
      <c r="G375" s="41" t="s">
        <v>24</v>
      </c>
      <c r="J375" s="41" t="s">
        <v>258</v>
      </c>
      <c r="K375" s="41" t="s">
        <v>256</v>
      </c>
      <c r="L375" s="58" t="s">
        <v>257</v>
      </c>
      <c r="M375" s="58" t="str">
        <f>LEFT(Table1[[#This Row],[Tegevusala kood]],2)</f>
        <v>09</v>
      </c>
      <c r="N375" s="41" t="str">
        <f>VLOOKUP(Table1[[#This Row],[Tegevusala kood]],Table4[[Tegevusala kood]:[Tegevusala alanimetus]],2,FALSE)</f>
        <v>Tudu kool</v>
      </c>
      <c r="O375" s="41" t="s">
        <v>1</v>
      </c>
      <c r="P375" s="41" t="s">
        <v>1</v>
      </c>
      <c r="Q375" s="41" t="str">
        <f>VLOOKUP(Table1[[#This Row],[Eelarvekonto]],Table5[[Konto]:[Kontode alanimetus]],5,FALSE)</f>
        <v>Tööjõukulud</v>
      </c>
      <c r="R375" s="42" t="str">
        <f>VLOOKUP(Table1[[#This Row],[Tegevusala kood]],Table4[[Tegevusala kood]:[Tegevusala alanimetus]],4,FALSE)</f>
        <v>Põhihariduse otsekulud</v>
      </c>
      <c r="S375" s="53"/>
      <c r="T375" s="53"/>
      <c r="U375" s="53">
        <f>Table1[[#This Row],[Summa]]+Table1[[#This Row],[I Muudatus]]+Table1[[#This Row],[II Muudatus]]</f>
        <v>2880</v>
      </c>
    </row>
    <row r="376" spans="1:21" ht="14.25" hidden="1" customHeight="1" x14ac:dyDescent="0.25">
      <c r="A376" s="41" t="s">
        <v>470</v>
      </c>
      <c r="B376" s="41">
        <v>7560</v>
      </c>
      <c r="C376" s="52">
        <v>5002</v>
      </c>
      <c r="D376" s="52" t="str">
        <f>LEFT(Table1[[#This Row],[Eelarvekonto]],2)</f>
        <v>50</v>
      </c>
      <c r="E376" s="41" t="str">
        <f>VLOOKUP(Table1[[#This Row],[Eelarvekonto]],Table5[[Konto]:[Konto nimetus]],2,FALSE)</f>
        <v>Töötajate töötasud</v>
      </c>
      <c r="F376" s="41" t="s">
        <v>139</v>
      </c>
      <c r="G376" s="41" t="s">
        <v>24</v>
      </c>
      <c r="J376" s="41" t="s">
        <v>258</v>
      </c>
      <c r="K376" s="41" t="s">
        <v>256</v>
      </c>
      <c r="L376" s="58" t="s">
        <v>257</v>
      </c>
      <c r="M376" s="58" t="str">
        <f>LEFT(Table1[[#This Row],[Tegevusala kood]],2)</f>
        <v>09</v>
      </c>
      <c r="N376" s="41" t="str">
        <f>VLOOKUP(Table1[[#This Row],[Tegevusala kood]],Table4[[Tegevusala kood]:[Tegevusala alanimetus]],2,FALSE)</f>
        <v>Tudu kool</v>
      </c>
      <c r="O376" s="41" t="s">
        <v>1</v>
      </c>
      <c r="P376" s="41" t="s">
        <v>1</v>
      </c>
      <c r="Q376" s="41" t="str">
        <f>VLOOKUP(Table1[[#This Row],[Eelarvekonto]],Table5[[Konto]:[Kontode alanimetus]],5,FALSE)</f>
        <v>Tööjõukulud</v>
      </c>
      <c r="R376" s="42" t="str">
        <f>VLOOKUP(Table1[[#This Row],[Tegevusala kood]],Table4[[Tegevusala kood]:[Tegevusala alanimetus]],4,FALSE)</f>
        <v>Põhihariduse otsekulud</v>
      </c>
      <c r="S376" s="53"/>
      <c r="T376" s="53"/>
      <c r="U376" s="53">
        <f>Table1[[#This Row],[Summa]]+Table1[[#This Row],[I Muudatus]]+Table1[[#This Row],[II Muudatus]]</f>
        <v>7560</v>
      </c>
    </row>
    <row r="377" spans="1:21" ht="14.25" hidden="1" customHeight="1" x14ac:dyDescent="0.25">
      <c r="A377" s="41" t="s">
        <v>469</v>
      </c>
      <c r="B377" s="41">
        <v>15696</v>
      </c>
      <c r="C377" s="52">
        <v>5002</v>
      </c>
      <c r="D377" s="52" t="str">
        <f>LEFT(Table1[[#This Row],[Eelarvekonto]],2)</f>
        <v>50</v>
      </c>
      <c r="E377" s="41" t="str">
        <f>VLOOKUP(Table1[[#This Row],[Eelarvekonto]],Table5[[Konto]:[Konto nimetus]],2,FALSE)</f>
        <v>Töötajate töötasud</v>
      </c>
      <c r="F377" s="41" t="s">
        <v>139</v>
      </c>
      <c r="G377" s="41" t="s">
        <v>24</v>
      </c>
      <c r="J377" s="41" t="s">
        <v>258</v>
      </c>
      <c r="K377" s="41" t="s">
        <v>256</v>
      </c>
      <c r="L377" s="58" t="s">
        <v>257</v>
      </c>
      <c r="M377" s="58" t="str">
        <f>LEFT(Table1[[#This Row],[Tegevusala kood]],2)</f>
        <v>09</v>
      </c>
      <c r="N377" s="41" t="str">
        <f>VLOOKUP(Table1[[#This Row],[Tegevusala kood]],Table4[[Tegevusala kood]:[Tegevusala alanimetus]],2,FALSE)</f>
        <v>Tudu kool</v>
      </c>
      <c r="O377" s="41" t="s">
        <v>1</v>
      </c>
      <c r="P377" s="41" t="s">
        <v>1</v>
      </c>
      <c r="Q377" s="41" t="str">
        <f>VLOOKUP(Table1[[#This Row],[Eelarvekonto]],Table5[[Konto]:[Kontode alanimetus]],5,FALSE)</f>
        <v>Tööjõukulud</v>
      </c>
      <c r="R377" s="42" t="str">
        <f>VLOOKUP(Table1[[#This Row],[Tegevusala kood]],Table4[[Tegevusala kood]:[Tegevusala alanimetus]],4,FALSE)</f>
        <v>Põhihariduse otsekulud</v>
      </c>
      <c r="S377" s="53"/>
      <c r="T377" s="53"/>
      <c r="U377" s="53">
        <f>Table1[[#This Row],[Summa]]+Table1[[#This Row],[I Muudatus]]+Table1[[#This Row],[II Muudatus]]</f>
        <v>15696</v>
      </c>
    </row>
    <row r="378" spans="1:21" ht="14.25" hidden="1" customHeight="1" x14ac:dyDescent="0.25">
      <c r="A378" s="41" t="s">
        <v>426</v>
      </c>
      <c r="B378" s="41">
        <v>8880</v>
      </c>
      <c r="C378" s="52">
        <v>5002</v>
      </c>
      <c r="D378" s="52" t="str">
        <f>LEFT(Table1[[#This Row],[Eelarvekonto]],2)</f>
        <v>50</v>
      </c>
      <c r="E378" s="41" t="str">
        <f>VLOOKUP(Table1[[#This Row],[Eelarvekonto]],Table5[[Konto]:[Konto nimetus]],2,FALSE)</f>
        <v>Töötajate töötasud</v>
      </c>
      <c r="F378" s="41" t="s">
        <v>139</v>
      </c>
      <c r="G378" s="41" t="s">
        <v>24</v>
      </c>
      <c r="J378" s="41" t="s">
        <v>258</v>
      </c>
      <c r="K378" s="41" t="s">
        <v>256</v>
      </c>
      <c r="L378" s="58" t="s">
        <v>257</v>
      </c>
      <c r="M378" s="58" t="str">
        <f>LEFT(Table1[[#This Row],[Tegevusala kood]],2)</f>
        <v>09</v>
      </c>
      <c r="N378" s="41" t="str">
        <f>VLOOKUP(Table1[[#This Row],[Tegevusala kood]],Table4[[Tegevusala kood]:[Tegevusala alanimetus]],2,FALSE)</f>
        <v>Tudu kool</v>
      </c>
      <c r="O378" s="41" t="s">
        <v>1</v>
      </c>
      <c r="P378" s="41" t="s">
        <v>1</v>
      </c>
      <c r="Q378" s="41" t="str">
        <f>VLOOKUP(Table1[[#This Row],[Eelarvekonto]],Table5[[Konto]:[Kontode alanimetus]],5,FALSE)</f>
        <v>Tööjõukulud</v>
      </c>
      <c r="R378" s="42" t="str">
        <f>VLOOKUP(Table1[[#This Row],[Tegevusala kood]],Table4[[Tegevusala kood]:[Tegevusala alanimetus]],4,FALSE)</f>
        <v>Põhihariduse otsekulud</v>
      </c>
      <c r="S378" s="53"/>
      <c r="T378" s="53"/>
      <c r="U378" s="53">
        <f>Table1[[#This Row],[Summa]]+Table1[[#This Row],[I Muudatus]]+Table1[[#This Row],[II Muudatus]]</f>
        <v>8880</v>
      </c>
    </row>
    <row r="379" spans="1:21" ht="14.25" hidden="1" customHeight="1" x14ac:dyDescent="0.25">
      <c r="A379" s="41" t="s">
        <v>158</v>
      </c>
      <c r="B379" s="41">
        <v>13556.51</v>
      </c>
      <c r="C379" s="52">
        <v>506</v>
      </c>
      <c r="D379" s="52" t="str">
        <f>LEFT(Table1[[#This Row],[Eelarvekonto]],2)</f>
        <v>50</v>
      </c>
      <c r="E379" s="41" t="str">
        <f>VLOOKUP(Table1[[#This Row],[Eelarvekonto]],Table5[[Konto]:[Konto nimetus]],2,FALSE)</f>
        <v>Tööjõukuludega kaasnevad maksud ja sotsiaalkindlustusmaksed</v>
      </c>
      <c r="F379" s="41" t="s">
        <v>139</v>
      </c>
      <c r="G379" s="41" t="s">
        <v>24</v>
      </c>
      <c r="J379" s="41" t="s">
        <v>258</v>
      </c>
      <c r="K379" s="41" t="s">
        <v>256</v>
      </c>
      <c r="L379" s="58" t="s">
        <v>257</v>
      </c>
      <c r="M379" s="58" t="str">
        <f>LEFT(Table1[[#This Row],[Tegevusala kood]],2)</f>
        <v>09</v>
      </c>
      <c r="N379" s="41" t="str">
        <f>VLOOKUP(Table1[[#This Row],[Tegevusala kood]],Table4[[Tegevusala kood]:[Tegevusala alanimetus]],2,FALSE)</f>
        <v>Tudu kool</v>
      </c>
      <c r="O379" s="41" t="s">
        <v>1</v>
      </c>
      <c r="P379" s="41" t="s">
        <v>1</v>
      </c>
      <c r="Q379" s="41" t="str">
        <f>VLOOKUP(Table1[[#This Row],[Eelarvekonto]],Table5[[Konto]:[Kontode alanimetus]],5,FALSE)</f>
        <v>Tööjõukulud</v>
      </c>
      <c r="R379" s="42" t="str">
        <f>VLOOKUP(Table1[[#This Row],[Tegevusala kood]],Table4[[Tegevusala kood]:[Tegevusala alanimetus]],4,FALSE)</f>
        <v>Põhihariduse otsekulud</v>
      </c>
      <c r="S379" s="53"/>
      <c r="T379" s="53"/>
      <c r="U379" s="53">
        <f>Table1[[#This Row],[Summa]]+Table1[[#This Row],[I Muudatus]]+Table1[[#This Row],[II Muudatus]]</f>
        <v>13556.51</v>
      </c>
    </row>
    <row r="380" spans="1:21" ht="14.25" hidden="1" customHeight="1" x14ac:dyDescent="0.25">
      <c r="A380" s="41" t="s">
        <v>526</v>
      </c>
      <c r="B380" s="41">
        <v>3924</v>
      </c>
      <c r="C380" s="52">
        <v>5002</v>
      </c>
      <c r="D380" s="52" t="str">
        <f>LEFT(Table1[[#This Row],[Eelarvekonto]],2)</f>
        <v>50</v>
      </c>
      <c r="E380" s="41" t="str">
        <f>VLOOKUP(Table1[[#This Row],[Eelarvekonto]],Table5[[Konto]:[Konto nimetus]],2,FALSE)</f>
        <v>Töötajate töötasud</v>
      </c>
      <c r="F380" s="41" t="s">
        <v>139</v>
      </c>
      <c r="G380" s="41" t="s">
        <v>24</v>
      </c>
      <c r="J380" s="41" t="s">
        <v>258</v>
      </c>
      <c r="K380" s="41" t="s">
        <v>256</v>
      </c>
      <c r="L380" s="58" t="s">
        <v>257</v>
      </c>
      <c r="M380" s="58" t="str">
        <f>LEFT(Table1[[#This Row],[Tegevusala kood]],2)</f>
        <v>09</v>
      </c>
      <c r="N380" s="41" t="str">
        <f>VLOOKUP(Table1[[#This Row],[Tegevusala kood]],Table4[[Tegevusala kood]:[Tegevusala alanimetus]],2,FALSE)</f>
        <v>Tudu kool</v>
      </c>
      <c r="O380" s="41" t="s">
        <v>1</v>
      </c>
      <c r="P380" s="41" t="s">
        <v>1</v>
      </c>
      <c r="Q380" s="41" t="str">
        <f>VLOOKUP(Table1[[#This Row],[Eelarvekonto]],Table5[[Konto]:[Kontode alanimetus]],5,FALSE)</f>
        <v>Tööjõukulud</v>
      </c>
      <c r="R380" s="42" t="str">
        <f>VLOOKUP(Table1[[#This Row],[Tegevusala kood]],Table4[[Tegevusala kood]:[Tegevusala alanimetus]],4,FALSE)</f>
        <v>Põhihariduse otsekulud</v>
      </c>
      <c r="S380" s="53"/>
      <c r="T380" s="53"/>
      <c r="U380" s="53">
        <f>Table1[[#This Row],[Summa]]+Table1[[#This Row],[I Muudatus]]+Table1[[#This Row],[II Muudatus]]</f>
        <v>3924</v>
      </c>
    </row>
    <row r="381" spans="1:21" ht="14.25" hidden="1" customHeight="1" x14ac:dyDescent="0.25">
      <c r="A381" s="41" t="s">
        <v>525</v>
      </c>
      <c r="B381" s="41">
        <v>4859.68</v>
      </c>
      <c r="C381" s="52">
        <v>551308</v>
      </c>
      <c r="D381" s="52" t="str">
        <f>LEFT(Table1[[#This Row],[Eelarvekonto]],2)</f>
        <v>55</v>
      </c>
      <c r="E381" s="41" t="str">
        <f>VLOOKUP(Table1[[#This Row],[Eelarvekonto]],Table5[[Konto]:[Konto nimetus]],2,FALSE)</f>
        <v>Sõidukite kasutusrent</v>
      </c>
      <c r="F381" s="41" t="s">
        <v>139</v>
      </c>
      <c r="G381" s="41" t="s">
        <v>24</v>
      </c>
      <c r="J381" s="41" t="s">
        <v>258</v>
      </c>
      <c r="K381" s="41" t="s">
        <v>256</v>
      </c>
      <c r="L381" s="58" t="s">
        <v>257</v>
      </c>
      <c r="M381" s="58" t="str">
        <f>LEFT(Table1[[#This Row],[Tegevusala kood]],2)</f>
        <v>09</v>
      </c>
      <c r="N381" s="41" t="str">
        <f>VLOOKUP(Table1[[#This Row],[Tegevusala kood]],Table4[[Tegevusala kood]:[Tegevusala alanimetus]],2,FALSE)</f>
        <v>Tudu kool</v>
      </c>
      <c r="O381" s="41" t="s">
        <v>1</v>
      </c>
      <c r="P381" s="41" t="s">
        <v>1</v>
      </c>
      <c r="Q381" s="41" t="str">
        <f>VLOOKUP(Table1[[#This Row],[Eelarvekonto]],Table5[[Konto]:[Kontode alanimetus]],5,FALSE)</f>
        <v>Majandamiskulud</v>
      </c>
      <c r="R381" s="42" t="str">
        <f>VLOOKUP(Table1[[#This Row],[Tegevusala kood]],Table4[[Tegevusala kood]:[Tegevusala alanimetus]],4,FALSE)</f>
        <v>Põhihariduse otsekulud</v>
      </c>
      <c r="S381" s="53"/>
      <c r="T381" s="53"/>
      <c r="U381" s="53">
        <f>Table1[[#This Row],[Summa]]+Table1[[#This Row],[I Muudatus]]+Table1[[#This Row],[II Muudatus]]</f>
        <v>4859.68</v>
      </c>
    </row>
    <row r="382" spans="1:21" ht="14.25" hidden="1" customHeight="1" x14ac:dyDescent="0.25">
      <c r="A382" s="42" t="s">
        <v>149</v>
      </c>
      <c r="B382" s="41">
        <v>3120</v>
      </c>
      <c r="C382" s="52">
        <v>551101</v>
      </c>
      <c r="D382" s="52" t="str">
        <f>LEFT(Table1[[#This Row],[Eelarvekonto]],2)</f>
        <v>55</v>
      </c>
      <c r="E382" s="41" t="str">
        <f>VLOOKUP(Table1[[#This Row],[Eelarvekonto]],Table5[[Konto]:[Konto nimetus]],2,FALSE)</f>
        <v>Elekter</v>
      </c>
      <c r="F382" s="41" t="s">
        <v>139</v>
      </c>
      <c r="G382" s="41" t="s">
        <v>24</v>
      </c>
      <c r="J382" s="41" t="s">
        <v>258</v>
      </c>
      <c r="K382" s="41" t="s">
        <v>256</v>
      </c>
      <c r="L382" s="58" t="s">
        <v>257</v>
      </c>
      <c r="M382" s="58" t="str">
        <f>LEFT(Table1[[#This Row],[Tegevusala kood]],2)</f>
        <v>09</v>
      </c>
      <c r="N382" s="41" t="str">
        <f>VLOOKUP(Table1[[#This Row],[Tegevusala kood]],Table4[[Tegevusala kood]:[Tegevusala alanimetus]],2,FALSE)</f>
        <v>Tudu kool</v>
      </c>
      <c r="O382" s="41" t="s">
        <v>1</v>
      </c>
      <c r="P382" s="41" t="s">
        <v>1</v>
      </c>
      <c r="Q382" s="41" t="str">
        <f>VLOOKUP(Table1[[#This Row],[Eelarvekonto]],Table5[[Konto]:[Kontode alanimetus]],5,FALSE)</f>
        <v>Majandamiskulud</v>
      </c>
      <c r="R382" s="42" t="str">
        <f>VLOOKUP(Table1[[#This Row],[Tegevusala kood]],Table4[[Tegevusala kood]:[Tegevusala alanimetus]],4,FALSE)</f>
        <v>Põhihariduse otsekulud</v>
      </c>
      <c r="S382" s="53"/>
      <c r="T382" s="53"/>
      <c r="U382" s="53">
        <f>Table1[[#This Row],[Summa]]+Table1[[#This Row],[I Muudatus]]+Table1[[#This Row],[II Muudatus]]</f>
        <v>3120</v>
      </c>
    </row>
    <row r="383" spans="1:21" ht="14.25" hidden="1" customHeight="1" x14ac:dyDescent="0.25">
      <c r="A383" s="42" t="s">
        <v>524</v>
      </c>
      <c r="B383" s="41">
        <v>54</v>
      </c>
      <c r="C383" s="52">
        <v>5514</v>
      </c>
      <c r="D383" s="52" t="str">
        <f>LEFT(Table1[[#This Row],[Eelarvekonto]],2)</f>
        <v>55</v>
      </c>
      <c r="E383" s="41" t="str">
        <f>VLOOKUP(Table1[[#This Row],[Eelarvekonto]],Table5[[Konto]:[Konto nimetus]],2,FALSE)</f>
        <v>Info- ja kommunikatsioonitehnoloogia kulud</v>
      </c>
      <c r="F383" s="41" t="s">
        <v>139</v>
      </c>
      <c r="G383" s="41" t="s">
        <v>24</v>
      </c>
      <c r="J383" s="41" t="s">
        <v>258</v>
      </c>
      <c r="K383" s="41" t="s">
        <v>256</v>
      </c>
      <c r="L383" s="58" t="s">
        <v>257</v>
      </c>
      <c r="M383" s="58" t="str">
        <f>LEFT(Table1[[#This Row],[Tegevusala kood]],2)</f>
        <v>09</v>
      </c>
      <c r="N383" s="41" t="str">
        <f>VLOOKUP(Table1[[#This Row],[Tegevusala kood]],Table4[[Tegevusala kood]:[Tegevusala alanimetus]],2,FALSE)</f>
        <v>Tudu kool</v>
      </c>
      <c r="O383" s="41" t="s">
        <v>1</v>
      </c>
      <c r="P383" s="41" t="s">
        <v>1</v>
      </c>
      <c r="Q383" s="41" t="str">
        <f>VLOOKUP(Table1[[#This Row],[Eelarvekonto]],Table5[[Konto]:[Kontode alanimetus]],5,FALSE)</f>
        <v>Majandamiskulud</v>
      </c>
      <c r="R383" s="42" t="str">
        <f>VLOOKUP(Table1[[#This Row],[Tegevusala kood]],Table4[[Tegevusala kood]:[Tegevusala alanimetus]],4,FALSE)</f>
        <v>Põhihariduse otsekulud</v>
      </c>
      <c r="S383" s="53"/>
      <c r="T383" s="53"/>
      <c r="U383" s="53">
        <f>Table1[[#This Row],[Summa]]+Table1[[#This Row],[I Muudatus]]+Table1[[#This Row],[II Muudatus]]</f>
        <v>54</v>
      </c>
    </row>
    <row r="384" spans="1:21" ht="14.25" hidden="1" customHeight="1" x14ac:dyDescent="0.25">
      <c r="A384" s="42" t="s">
        <v>479</v>
      </c>
      <c r="B384" s="41">
        <v>2255</v>
      </c>
      <c r="C384" s="52">
        <v>551102</v>
      </c>
      <c r="D384" s="52" t="str">
        <f>LEFT(Table1[[#This Row],[Eelarvekonto]],2)</f>
        <v>55</v>
      </c>
      <c r="E384" s="41" t="str">
        <f>VLOOKUP(Table1[[#This Row],[Eelarvekonto]],Table5[[Konto]:[Konto nimetus]],2,FALSE)</f>
        <v>Vesi ja kanalisatsioon</v>
      </c>
      <c r="F384" s="41" t="s">
        <v>139</v>
      </c>
      <c r="G384" s="41" t="s">
        <v>24</v>
      </c>
      <c r="J384" s="41" t="s">
        <v>258</v>
      </c>
      <c r="K384" s="41" t="s">
        <v>256</v>
      </c>
      <c r="L384" s="58" t="s">
        <v>257</v>
      </c>
      <c r="M384" s="58" t="str">
        <f>LEFT(Table1[[#This Row],[Tegevusala kood]],2)</f>
        <v>09</v>
      </c>
      <c r="N384" s="41" t="str">
        <f>VLOOKUP(Table1[[#This Row],[Tegevusala kood]],Table4[[Tegevusala kood]:[Tegevusala alanimetus]],2,FALSE)</f>
        <v>Tudu kool</v>
      </c>
      <c r="O384" s="41" t="s">
        <v>1</v>
      </c>
      <c r="P384" s="41" t="s">
        <v>1</v>
      </c>
      <c r="Q384" s="41" t="str">
        <f>VLOOKUP(Table1[[#This Row],[Eelarvekonto]],Table5[[Konto]:[Kontode alanimetus]],5,FALSE)</f>
        <v>Majandamiskulud</v>
      </c>
      <c r="R384" s="42" t="str">
        <f>VLOOKUP(Table1[[#This Row],[Tegevusala kood]],Table4[[Tegevusala kood]:[Tegevusala alanimetus]],4,FALSE)</f>
        <v>Põhihariduse otsekulud</v>
      </c>
      <c r="S384" s="53"/>
      <c r="T384" s="53"/>
      <c r="U384" s="53">
        <f>Table1[[#This Row],[Summa]]+Table1[[#This Row],[I Muudatus]]+Table1[[#This Row],[II Muudatus]]</f>
        <v>2255</v>
      </c>
    </row>
    <row r="385" spans="1:21" ht="14.25" hidden="1" customHeight="1" x14ac:dyDescent="0.25">
      <c r="A385" s="42" t="s">
        <v>450</v>
      </c>
      <c r="B385" s="41">
        <v>155</v>
      </c>
      <c r="C385" s="52">
        <v>5524</v>
      </c>
      <c r="D385" s="52" t="str">
        <f>LEFT(Table1[[#This Row],[Eelarvekonto]],2)</f>
        <v>55</v>
      </c>
      <c r="E385" s="41" t="str">
        <f>VLOOKUP(Table1[[#This Row],[Eelarvekonto]],Table5[[Konto]:[Konto nimetus]],2,FALSE)</f>
        <v>Õppevahendite ja koolituse kulud</v>
      </c>
      <c r="F385" s="41" t="s">
        <v>139</v>
      </c>
      <c r="G385" s="41" t="s">
        <v>24</v>
      </c>
      <c r="J385" s="41" t="s">
        <v>258</v>
      </c>
      <c r="K385" s="41" t="s">
        <v>256</v>
      </c>
      <c r="L385" s="58" t="s">
        <v>257</v>
      </c>
      <c r="M385" s="58" t="str">
        <f>LEFT(Table1[[#This Row],[Tegevusala kood]],2)</f>
        <v>09</v>
      </c>
      <c r="N385" s="41" t="str">
        <f>VLOOKUP(Table1[[#This Row],[Tegevusala kood]],Table4[[Tegevusala kood]:[Tegevusala alanimetus]],2,FALSE)</f>
        <v>Tudu kool</v>
      </c>
      <c r="O385" s="41" t="s">
        <v>1</v>
      </c>
      <c r="P385" s="41" t="s">
        <v>1</v>
      </c>
      <c r="Q385" s="41" t="str">
        <f>VLOOKUP(Table1[[#This Row],[Eelarvekonto]],Table5[[Konto]:[Kontode alanimetus]],5,FALSE)</f>
        <v>Majandamiskulud</v>
      </c>
      <c r="R385" s="42" t="str">
        <f>VLOOKUP(Table1[[#This Row],[Tegevusala kood]],Table4[[Tegevusala kood]:[Tegevusala alanimetus]],4,FALSE)</f>
        <v>Põhihariduse otsekulud</v>
      </c>
      <c r="S385" s="53"/>
      <c r="T385" s="53"/>
      <c r="U385" s="53">
        <f>Table1[[#This Row],[Summa]]+Table1[[#This Row],[I Muudatus]]+Table1[[#This Row],[II Muudatus]]</f>
        <v>155</v>
      </c>
    </row>
    <row r="386" spans="1:21" ht="14.25" hidden="1" customHeight="1" x14ac:dyDescent="0.25">
      <c r="A386" s="42" t="s">
        <v>483</v>
      </c>
      <c r="B386" s="41">
        <v>60</v>
      </c>
      <c r="C386" s="52">
        <v>551102</v>
      </c>
      <c r="D386" s="52" t="str">
        <f>LEFT(Table1[[#This Row],[Eelarvekonto]],2)</f>
        <v>55</v>
      </c>
      <c r="E386" s="41" t="str">
        <f>VLOOKUP(Table1[[#This Row],[Eelarvekonto]],Table5[[Konto]:[Konto nimetus]],2,FALSE)</f>
        <v>Vesi ja kanalisatsioon</v>
      </c>
      <c r="F386" s="41" t="s">
        <v>139</v>
      </c>
      <c r="G386" s="41" t="s">
        <v>24</v>
      </c>
      <c r="J386" s="41" t="s">
        <v>258</v>
      </c>
      <c r="K386" s="41" t="s">
        <v>256</v>
      </c>
      <c r="L386" s="58" t="s">
        <v>257</v>
      </c>
      <c r="M386" s="58" t="str">
        <f>LEFT(Table1[[#This Row],[Tegevusala kood]],2)</f>
        <v>09</v>
      </c>
      <c r="N386" s="41" t="str">
        <f>VLOOKUP(Table1[[#This Row],[Tegevusala kood]],Table4[[Tegevusala kood]:[Tegevusala alanimetus]],2,FALSE)</f>
        <v>Tudu kool</v>
      </c>
      <c r="O386" s="41" t="s">
        <v>1</v>
      </c>
      <c r="P386" s="41" t="s">
        <v>1</v>
      </c>
      <c r="Q386" s="41" t="str">
        <f>VLOOKUP(Table1[[#This Row],[Eelarvekonto]],Table5[[Konto]:[Kontode alanimetus]],5,FALSE)</f>
        <v>Majandamiskulud</v>
      </c>
      <c r="R386" s="42" t="str">
        <f>VLOOKUP(Table1[[#This Row],[Tegevusala kood]],Table4[[Tegevusala kood]:[Tegevusala alanimetus]],4,FALSE)</f>
        <v>Põhihariduse otsekulud</v>
      </c>
      <c r="S386" s="53"/>
      <c r="T386" s="53"/>
      <c r="U386" s="53">
        <f>Table1[[#This Row],[Summa]]+Table1[[#This Row],[I Muudatus]]+Table1[[#This Row],[II Muudatus]]</f>
        <v>60</v>
      </c>
    </row>
    <row r="387" spans="1:21" ht="14.25" hidden="1" customHeight="1" x14ac:dyDescent="0.25">
      <c r="A387" s="42" t="s">
        <v>483</v>
      </c>
      <c r="B387" s="41">
        <v>72</v>
      </c>
      <c r="C387" s="52">
        <v>551102</v>
      </c>
      <c r="D387" s="52" t="str">
        <f>LEFT(Table1[[#This Row],[Eelarvekonto]],2)</f>
        <v>55</v>
      </c>
      <c r="E387" s="41" t="str">
        <f>VLOOKUP(Table1[[#This Row],[Eelarvekonto]],Table5[[Konto]:[Konto nimetus]],2,FALSE)</f>
        <v>Vesi ja kanalisatsioon</v>
      </c>
      <c r="F387" s="41" t="s">
        <v>139</v>
      </c>
      <c r="G387" s="41" t="s">
        <v>24</v>
      </c>
      <c r="J387" s="41" t="s">
        <v>258</v>
      </c>
      <c r="K387" s="41" t="s">
        <v>256</v>
      </c>
      <c r="L387" s="58" t="s">
        <v>257</v>
      </c>
      <c r="M387" s="58" t="str">
        <f>LEFT(Table1[[#This Row],[Tegevusala kood]],2)</f>
        <v>09</v>
      </c>
      <c r="N387" s="41" t="str">
        <f>VLOOKUP(Table1[[#This Row],[Tegevusala kood]],Table4[[Tegevusala kood]:[Tegevusala alanimetus]],2,FALSE)</f>
        <v>Tudu kool</v>
      </c>
      <c r="O387" s="41" t="s">
        <v>1</v>
      </c>
      <c r="P387" s="41" t="s">
        <v>1</v>
      </c>
      <c r="Q387" s="41" t="str">
        <f>VLOOKUP(Table1[[#This Row],[Eelarvekonto]],Table5[[Konto]:[Kontode alanimetus]],5,FALSE)</f>
        <v>Majandamiskulud</v>
      </c>
      <c r="R387" s="42" t="str">
        <f>VLOOKUP(Table1[[#This Row],[Tegevusala kood]],Table4[[Tegevusala kood]:[Tegevusala alanimetus]],4,FALSE)</f>
        <v>Põhihariduse otsekulud</v>
      </c>
      <c r="S387" s="53"/>
      <c r="T387" s="53"/>
      <c r="U387" s="53">
        <f>Table1[[#This Row],[Summa]]+Table1[[#This Row],[I Muudatus]]+Table1[[#This Row],[II Muudatus]]</f>
        <v>72</v>
      </c>
    </row>
    <row r="388" spans="1:21" ht="14.25" hidden="1" customHeight="1" x14ac:dyDescent="0.25">
      <c r="A388" s="41" t="s">
        <v>523</v>
      </c>
      <c r="B388" s="41">
        <v>60</v>
      </c>
      <c r="C388" s="52">
        <v>551307</v>
      </c>
      <c r="D388" s="52" t="str">
        <f>LEFT(Table1[[#This Row],[Eelarvekonto]],2)</f>
        <v>55</v>
      </c>
      <c r="E388" s="41" t="str">
        <f>VLOOKUP(Table1[[#This Row],[Eelarvekonto]],Table5[[Konto]:[Konto nimetus]],2,FALSE)</f>
        <v>Kindlustus</v>
      </c>
      <c r="F388" s="41" t="s">
        <v>139</v>
      </c>
      <c r="G388" s="41" t="s">
        <v>24</v>
      </c>
      <c r="J388" s="41" t="s">
        <v>258</v>
      </c>
      <c r="K388" s="41" t="s">
        <v>256</v>
      </c>
      <c r="L388" s="58" t="s">
        <v>257</v>
      </c>
      <c r="M388" s="58" t="str">
        <f>LEFT(Table1[[#This Row],[Tegevusala kood]],2)</f>
        <v>09</v>
      </c>
      <c r="N388" s="41" t="str">
        <f>VLOOKUP(Table1[[#This Row],[Tegevusala kood]],Table4[[Tegevusala kood]:[Tegevusala alanimetus]],2,FALSE)</f>
        <v>Tudu kool</v>
      </c>
      <c r="O388" s="41" t="s">
        <v>1</v>
      </c>
      <c r="P388" s="41" t="s">
        <v>1</v>
      </c>
      <c r="Q388" s="41" t="str">
        <f>VLOOKUP(Table1[[#This Row],[Eelarvekonto]],Table5[[Konto]:[Kontode alanimetus]],5,FALSE)</f>
        <v>Majandamiskulud</v>
      </c>
      <c r="R388" s="42" t="str">
        <f>VLOOKUP(Table1[[#This Row],[Tegevusala kood]],Table4[[Tegevusala kood]:[Tegevusala alanimetus]],4,FALSE)</f>
        <v>Põhihariduse otsekulud</v>
      </c>
      <c r="S388" s="53"/>
      <c r="T388" s="53"/>
      <c r="U388" s="53">
        <f>Table1[[#This Row],[Summa]]+Table1[[#This Row],[I Muudatus]]+Table1[[#This Row],[II Muudatus]]</f>
        <v>60</v>
      </c>
    </row>
    <row r="389" spans="1:21" ht="14.25" hidden="1" customHeight="1" x14ac:dyDescent="0.25">
      <c r="A389" s="41" t="s">
        <v>522</v>
      </c>
      <c r="B389" s="41">
        <v>507</v>
      </c>
      <c r="C389" s="52">
        <v>551307</v>
      </c>
      <c r="D389" s="52" t="str">
        <f>LEFT(Table1[[#This Row],[Eelarvekonto]],2)</f>
        <v>55</v>
      </c>
      <c r="E389" s="41" t="str">
        <f>VLOOKUP(Table1[[#This Row],[Eelarvekonto]],Table5[[Konto]:[Konto nimetus]],2,FALSE)</f>
        <v>Kindlustus</v>
      </c>
      <c r="F389" s="41" t="s">
        <v>139</v>
      </c>
      <c r="G389" s="41" t="s">
        <v>24</v>
      </c>
      <c r="J389" s="41" t="s">
        <v>258</v>
      </c>
      <c r="K389" s="41" t="s">
        <v>256</v>
      </c>
      <c r="L389" s="58" t="s">
        <v>257</v>
      </c>
      <c r="M389" s="58" t="str">
        <f>LEFT(Table1[[#This Row],[Tegevusala kood]],2)</f>
        <v>09</v>
      </c>
      <c r="N389" s="41" t="str">
        <f>VLOOKUP(Table1[[#This Row],[Tegevusala kood]],Table4[[Tegevusala kood]:[Tegevusala alanimetus]],2,FALSE)</f>
        <v>Tudu kool</v>
      </c>
      <c r="O389" s="41" t="s">
        <v>1</v>
      </c>
      <c r="P389" s="41" t="s">
        <v>1</v>
      </c>
      <c r="Q389" s="41" t="str">
        <f>VLOOKUP(Table1[[#This Row],[Eelarvekonto]],Table5[[Konto]:[Kontode alanimetus]],5,FALSE)</f>
        <v>Majandamiskulud</v>
      </c>
      <c r="R389" s="42" t="str">
        <f>VLOOKUP(Table1[[#This Row],[Tegevusala kood]],Table4[[Tegevusala kood]:[Tegevusala alanimetus]],4,FALSE)</f>
        <v>Põhihariduse otsekulud</v>
      </c>
      <c r="S389" s="53"/>
      <c r="T389" s="53"/>
      <c r="U389" s="53">
        <f>Table1[[#This Row],[Summa]]+Table1[[#This Row],[I Muudatus]]+Table1[[#This Row],[II Muudatus]]</f>
        <v>507</v>
      </c>
    </row>
    <row r="390" spans="1:21" ht="14.25" hidden="1" customHeight="1" x14ac:dyDescent="0.25">
      <c r="A390" s="41" t="s">
        <v>484</v>
      </c>
      <c r="B390" s="41">
        <v>60</v>
      </c>
      <c r="C390" s="52">
        <v>5511</v>
      </c>
      <c r="D390" s="52" t="str">
        <f>LEFT(Table1[[#This Row],[Eelarvekonto]],2)</f>
        <v>55</v>
      </c>
      <c r="E390" s="41" t="str">
        <f>VLOOKUP(Table1[[#This Row],[Eelarvekonto]],Table5[[Konto]:[Konto nimetus]],2,FALSE)</f>
        <v>Kinnistute, hoonete ja ruumide majandamiskulud</v>
      </c>
      <c r="F390" s="41" t="s">
        <v>139</v>
      </c>
      <c r="G390" s="41" t="s">
        <v>24</v>
      </c>
      <c r="J390" s="41" t="s">
        <v>258</v>
      </c>
      <c r="K390" s="41" t="s">
        <v>256</v>
      </c>
      <c r="L390" s="58" t="s">
        <v>257</v>
      </c>
      <c r="M390" s="58" t="str">
        <f>LEFT(Table1[[#This Row],[Tegevusala kood]],2)</f>
        <v>09</v>
      </c>
      <c r="N390" s="41" t="str">
        <f>VLOOKUP(Table1[[#This Row],[Tegevusala kood]],Table4[[Tegevusala kood]:[Tegevusala alanimetus]],2,FALSE)</f>
        <v>Tudu kool</v>
      </c>
      <c r="O390" s="41" t="s">
        <v>1</v>
      </c>
      <c r="P390" s="41" t="s">
        <v>1</v>
      </c>
      <c r="Q390" s="41" t="str">
        <f>VLOOKUP(Table1[[#This Row],[Eelarvekonto]],Table5[[Konto]:[Kontode alanimetus]],5,FALSE)</f>
        <v>Majandamiskulud</v>
      </c>
      <c r="R390" s="42" t="str">
        <f>VLOOKUP(Table1[[#This Row],[Tegevusala kood]],Table4[[Tegevusala kood]:[Tegevusala alanimetus]],4,FALSE)</f>
        <v>Põhihariduse otsekulud</v>
      </c>
      <c r="S390" s="53"/>
      <c r="T390" s="53"/>
      <c r="U390" s="53">
        <f>Table1[[#This Row],[Summa]]+Table1[[#This Row],[I Muudatus]]+Table1[[#This Row],[II Muudatus]]</f>
        <v>60</v>
      </c>
    </row>
    <row r="391" spans="1:21" ht="14.25" hidden="1" customHeight="1" x14ac:dyDescent="0.25">
      <c r="A391" s="41" t="s">
        <v>503</v>
      </c>
      <c r="B391" s="41">
        <v>93.96</v>
      </c>
      <c r="C391" s="52">
        <v>5511</v>
      </c>
      <c r="D391" s="52" t="str">
        <f>LEFT(Table1[[#This Row],[Eelarvekonto]],2)</f>
        <v>55</v>
      </c>
      <c r="E391" s="41" t="str">
        <f>VLOOKUP(Table1[[#This Row],[Eelarvekonto]],Table5[[Konto]:[Konto nimetus]],2,FALSE)</f>
        <v>Kinnistute, hoonete ja ruumide majandamiskulud</v>
      </c>
      <c r="F391" s="41" t="s">
        <v>139</v>
      </c>
      <c r="G391" s="41" t="s">
        <v>24</v>
      </c>
      <c r="J391" s="41" t="s">
        <v>258</v>
      </c>
      <c r="K391" s="41" t="s">
        <v>256</v>
      </c>
      <c r="L391" s="58" t="s">
        <v>257</v>
      </c>
      <c r="M391" s="58" t="str">
        <f>LEFT(Table1[[#This Row],[Tegevusala kood]],2)</f>
        <v>09</v>
      </c>
      <c r="N391" s="41" t="str">
        <f>VLOOKUP(Table1[[#This Row],[Tegevusala kood]],Table4[[Tegevusala kood]:[Tegevusala alanimetus]],2,FALSE)</f>
        <v>Tudu kool</v>
      </c>
      <c r="O391" s="41" t="s">
        <v>1</v>
      </c>
      <c r="P391" s="41" t="s">
        <v>1</v>
      </c>
      <c r="Q391" s="41" t="str">
        <f>VLOOKUP(Table1[[#This Row],[Eelarvekonto]],Table5[[Konto]:[Kontode alanimetus]],5,FALSE)</f>
        <v>Majandamiskulud</v>
      </c>
      <c r="R391" s="42" t="str">
        <f>VLOOKUP(Table1[[#This Row],[Tegevusala kood]],Table4[[Tegevusala kood]:[Tegevusala alanimetus]],4,FALSE)</f>
        <v>Põhihariduse otsekulud</v>
      </c>
      <c r="S391" s="53"/>
      <c r="T391" s="53"/>
      <c r="U391" s="53">
        <f>Table1[[#This Row],[Summa]]+Table1[[#This Row],[I Muudatus]]+Table1[[#This Row],[II Muudatus]]</f>
        <v>93.96</v>
      </c>
    </row>
    <row r="392" spans="1:21" ht="14.25" hidden="1" customHeight="1" x14ac:dyDescent="0.25">
      <c r="A392" s="41" t="s">
        <v>486</v>
      </c>
      <c r="B392" s="41">
        <v>575.36</v>
      </c>
      <c r="C392" s="52">
        <v>5511</v>
      </c>
      <c r="D392" s="52" t="str">
        <f>LEFT(Table1[[#This Row],[Eelarvekonto]],2)</f>
        <v>55</v>
      </c>
      <c r="E392" s="41" t="str">
        <f>VLOOKUP(Table1[[#This Row],[Eelarvekonto]],Table5[[Konto]:[Konto nimetus]],2,FALSE)</f>
        <v>Kinnistute, hoonete ja ruumide majandamiskulud</v>
      </c>
      <c r="F392" s="41" t="s">
        <v>139</v>
      </c>
      <c r="G392" s="41" t="s">
        <v>24</v>
      </c>
      <c r="J392" s="41" t="s">
        <v>258</v>
      </c>
      <c r="K392" s="41" t="s">
        <v>256</v>
      </c>
      <c r="L392" s="58" t="s">
        <v>257</v>
      </c>
      <c r="M392" s="58" t="str">
        <f>LEFT(Table1[[#This Row],[Tegevusala kood]],2)</f>
        <v>09</v>
      </c>
      <c r="N392" s="41" t="str">
        <f>VLOOKUP(Table1[[#This Row],[Tegevusala kood]],Table4[[Tegevusala kood]:[Tegevusala alanimetus]],2,FALSE)</f>
        <v>Tudu kool</v>
      </c>
      <c r="O392" s="41" t="s">
        <v>1</v>
      </c>
      <c r="P392" s="41" t="s">
        <v>1</v>
      </c>
      <c r="Q392" s="41" t="str">
        <f>VLOOKUP(Table1[[#This Row],[Eelarvekonto]],Table5[[Konto]:[Kontode alanimetus]],5,FALSE)</f>
        <v>Majandamiskulud</v>
      </c>
      <c r="R392" s="42" t="str">
        <f>VLOOKUP(Table1[[#This Row],[Tegevusala kood]],Table4[[Tegevusala kood]:[Tegevusala alanimetus]],4,FALSE)</f>
        <v>Põhihariduse otsekulud</v>
      </c>
      <c r="S392" s="53"/>
      <c r="T392" s="53"/>
      <c r="U392" s="53">
        <f>Table1[[#This Row],[Summa]]+Table1[[#This Row],[I Muudatus]]+Table1[[#This Row],[II Muudatus]]</f>
        <v>575.36</v>
      </c>
    </row>
    <row r="393" spans="1:21" ht="14.25" hidden="1" customHeight="1" x14ac:dyDescent="0.25">
      <c r="A393" s="41" t="s">
        <v>197</v>
      </c>
      <c r="B393" s="41">
        <v>704</v>
      </c>
      <c r="C393" s="52">
        <v>5513081</v>
      </c>
      <c r="D393" s="52" t="str">
        <f>LEFT(Table1[[#This Row],[Eelarvekonto]],2)</f>
        <v>55</v>
      </c>
      <c r="E393" s="41" t="str">
        <f>VLOOKUP(Table1[[#This Row],[Eelarvekonto]],Table5[[Konto]:[Konto nimetus]],2,FALSE)</f>
        <v>Isikliku sõiduauto kompensatsioon</v>
      </c>
      <c r="F393" s="41" t="s">
        <v>139</v>
      </c>
      <c r="G393" s="41" t="s">
        <v>24</v>
      </c>
      <c r="J393" s="41" t="s">
        <v>200</v>
      </c>
      <c r="K393" s="41" t="s">
        <v>100</v>
      </c>
      <c r="L393" s="58" t="s">
        <v>199</v>
      </c>
      <c r="M393" s="58" t="str">
        <f>LEFT(Table1[[#This Row],[Tegevusala kood]],2)</f>
        <v>08</v>
      </c>
      <c r="N393" s="41" t="str">
        <f>VLOOKUP(Table1[[#This Row],[Tegevusala kood]],Table4[[Tegevusala kood]:[Tegevusala alanimetus]],2,FALSE)</f>
        <v>Ulvi Klubi</v>
      </c>
      <c r="O393" s="41" t="s">
        <v>1</v>
      </c>
      <c r="P393" s="41" t="s">
        <v>1</v>
      </c>
      <c r="Q393" s="41" t="str">
        <f>VLOOKUP(Table1[[#This Row],[Eelarvekonto]],Table5[[Konto]:[Kontode alanimetus]],5,FALSE)</f>
        <v>Majandamiskulud</v>
      </c>
      <c r="R393" s="42" t="str">
        <f>VLOOKUP(Table1[[#This Row],[Tegevusala kood]],Table4[[Tegevusala kood]:[Tegevusala alanimetus]],4,FALSE)</f>
        <v>Rahvakultuur</v>
      </c>
      <c r="S393" s="53"/>
      <c r="T393" s="53"/>
      <c r="U393" s="53">
        <f>Table1[[#This Row],[Summa]]+Table1[[#This Row],[I Muudatus]]+Table1[[#This Row],[II Muudatus]]</f>
        <v>704</v>
      </c>
    </row>
    <row r="394" spans="1:21" ht="14.25" hidden="1" customHeight="1" x14ac:dyDescent="0.25">
      <c r="A394" s="41" t="s">
        <v>158</v>
      </c>
      <c r="B394" s="41">
        <v>5714.9</v>
      </c>
      <c r="C394" s="52">
        <v>506</v>
      </c>
      <c r="D394" s="52" t="str">
        <f>LEFT(Table1[[#This Row],[Eelarvekonto]],2)</f>
        <v>50</v>
      </c>
      <c r="E394" s="41" t="str">
        <f>VLOOKUP(Table1[[#This Row],[Eelarvekonto]],Table5[[Konto]:[Konto nimetus]],2,FALSE)</f>
        <v>Tööjõukuludega kaasnevad maksud ja sotsiaalkindlustusmaksed</v>
      </c>
      <c r="F394" s="41" t="s">
        <v>139</v>
      </c>
      <c r="G394" s="41" t="s">
        <v>24</v>
      </c>
      <c r="J394" s="41" t="s">
        <v>200</v>
      </c>
      <c r="K394" s="41" t="s">
        <v>100</v>
      </c>
      <c r="L394" s="58" t="s">
        <v>199</v>
      </c>
      <c r="M394" s="58" t="str">
        <f>LEFT(Table1[[#This Row],[Tegevusala kood]],2)</f>
        <v>08</v>
      </c>
      <c r="N394" s="41" t="str">
        <f>VLOOKUP(Table1[[#This Row],[Tegevusala kood]],Table4[[Tegevusala kood]:[Tegevusala alanimetus]],2,FALSE)</f>
        <v>Ulvi Klubi</v>
      </c>
      <c r="O394" s="41" t="s">
        <v>1</v>
      </c>
      <c r="P394" s="41" t="s">
        <v>1</v>
      </c>
      <c r="Q394" s="41" t="str">
        <f>VLOOKUP(Table1[[#This Row],[Eelarvekonto]],Table5[[Konto]:[Kontode alanimetus]],5,FALSE)</f>
        <v>Tööjõukulud</v>
      </c>
      <c r="R394" s="42" t="str">
        <f>VLOOKUP(Table1[[#This Row],[Tegevusala kood]],Table4[[Tegevusala kood]:[Tegevusala alanimetus]],4,FALSE)</f>
        <v>Rahvakultuur</v>
      </c>
      <c r="S394" s="53"/>
      <c r="T394" s="53"/>
      <c r="U394" s="53">
        <f>Table1[[#This Row],[Summa]]+Table1[[#This Row],[I Muudatus]]+Table1[[#This Row],[II Muudatus]]</f>
        <v>5714.9</v>
      </c>
    </row>
    <row r="395" spans="1:21" ht="14.25" hidden="1" customHeight="1" x14ac:dyDescent="0.25">
      <c r="A395" s="41" t="s">
        <v>201</v>
      </c>
      <c r="B395" s="41">
        <v>2268</v>
      </c>
      <c r="C395" s="52">
        <v>5005</v>
      </c>
      <c r="D395" s="52" t="str">
        <f>LEFT(Table1[[#This Row],[Eelarvekonto]],2)</f>
        <v>50</v>
      </c>
      <c r="E395" s="41" t="str">
        <f>VLOOKUP(Table1[[#This Row],[Eelarvekonto]],Table5[[Konto]:[Konto nimetus]],2,FALSE)</f>
        <v>Töötasud võlaõiguslike lepingute alusel</v>
      </c>
      <c r="F395" s="41" t="s">
        <v>139</v>
      </c>
      <c r="G395" s="41" t="s">
        <v>24</v>
      </c>
      <c r="J395" s="41" t="s">
        <v>200</v>
      </c>
      <c r="K395" s="41" t="s">
        <v>100</v>
      </c>
      <c r="L395" s="58" t="s">
        <v>199</v>
      </c>
      <c r="M395" s="58" t="str">
        <f>LEFT(Table1[[#This Row],[Tegevusala kood]],2)</f>
        <v>08</v>
      </c>
      <c r="N395" s="41" t="str">
        <f>VLOOKUP(Table1[[#This Row],[Tegevusala kood]],Table4[[Tegevusala kood]:[Tegevusala alanimetus]],2,FALSE)</f>
        <v>Ulvi Klubi</v>
      </c>
      <c r="O395" s="41" t="s">
        <v>1</v>
      </c>
      <c r="P395" s="41" t="s">
        <v>1</v>
      </c>
      <c r="Q395" s="41" t="str">
        <f>VLOOKUP(Table1[[#This Row],[Eelarvekonto]],Table5[[Konto]:[Kontode alanimetus]],5,FALSE)</f>
        <v>Tööjõukulud</v>
      </c>
      <c r="R395" s="42" t="str">
        <f>VLOOKUP(Table1[[#This Row],[Tegevusala kood]],Table4[[Tegevusala kood]:[Tegevusala alanimetus]],4,FALSE)</f>
        <v>Rahvakultuur</v>
      </c>
      <c r="S395" s="53"/>
      <c r="T395" s="53"/>
      <c r="U395" s="53">
        <f>Table1[[#This Row],[Summa]]+Table1[[#This Row],[I Muudatus]]+Table1[[#This Row],[II Muudatus]]</f>
        <v>2268</v>
      </c>
    </row>
    <row r="396" spans="1:21" ht="14.25" hidden="1" customHeight="1" x14ac:dyDescent="0.25">
      <c r="A396" s="42" t="s">
        <v>469</v>
      </c>
      <c r="B396" s="42">
        <v>3600</v>
      </c>
      <c r="C396" s="53">
        <v>5002</v>
      </c>
      <c r="D396" s="53" t="str">
        <f>LEFT(Table1[[#This Row],[Eelarvekonto]],2)</f>
        <v>50</v>
      </c>
      <c r="E396" s="42" t="str">
        <f>VLOOKUP(Table1[[#This Row],[Eelarvekonto]],Table5[[Konto]:[Konto nimetus]],2,FALSE)</f>
        <v>Töötajate töötasud</v>
      </c>
      <c r="F396" s="42" t="s">
        <v>139</v>
      </c>
      <c r="G396" s="42" t="s">
        <v>24</v>
      </c>
      <c r="H396" s="57"/>
      <c r="I396" s="57"/>
      <c r="J396" s="42" t="s">
        <v>200</v>
      </c>
      <c r="K396" s="42" t="s">
        <v>100</v>
      </c>
      <c r="L396" s="62" t="s">
        <v>199</v>
      </c>
      <c r="M396" s="62" t="str">
        <f>LEFT(Table1[[#This Row],[Tegevusala kood]],2)</f>
        <v>08</v>
      </c>
      <c r="N396" s="42" t="str">
        <f>VLOOKUP(Table1[[#This Row],[Tegevusala kood]],Table4[[Tegevusala kood]:[Tegevusala alanimetus]],2,FALSE)</f>
        <v>Ulvi Klubi</v>
      </c>
      <c r="O396" s="42" t="s">
        <v>1</v>
      </c>
      <c r="P396" s="42" t="s">
        <v>1</v>
      </c>
      <c r="Q396" s="42" t="str">
        <f>VLOOKUP(Table1[[#This Row],[Eelarvekonto]],Table5[[Konto]:[Kontode alanimetus]],5,FALSE)</f>
        <v>Tööjõukulud</v>
      </c>
      <c r="R396" s="42" t="str">
        <f>VLOOKUP(Table1[[#This Row],[Tegevusala kood]],Table4[[Tegevusala kood]:[Tegevusala alanimetus]],4,FALSE)</f>
        <v>Rahvakultuur</v>
      </c>
      <c r="S396" s="53"/>
      <c r="T396" s="53"/>
      <c r="U396" s="53">
        <f>Table1[[#This Row],[Summa]]+Table1[[#This Row],[I Muudatus]]+Table1[[#This Row],[II Muudatus]]</f>
        <v>3600</v>
      </c>
    </row>
    <row r="397" spans="1:21" ht="14.25" hidden="1" customHeight="1" x14ac:dyDescent="0.25">
      <c r="A397" s="41" t="s">
        <v>462</v>
      </c>
      <c r="B397" s="41">
        <v>11040</v>
      </c>
      <c r="C397" s="52">
        <v>5002</v>
      </c>
      <c r="D397" s="52" t="str">
        <f>LEFT(Table1[[#This Row],[Eelarvekonto]],2)</f>
        <v>50</v>
      </c>
      <c r="E397" s="41" t="str">
        <f>VLOOKUP(Table1[[#This Row],[Eelarvekonto]],Table5[[Konto]:[Konto nimetus]],2,FALSE)</f>
        <v>Töötajate töötasud</v>
      </c>
      <c r="F397" s="41" t="s">
        <v>139</v>
      </c>
      <c r="G397" s="41" t="s">
        <v>24</v>
      </c>
      <c r="J397" s="41" t="s">
        <v>200</v>
      </c>
      <c r="K397" s="41" t="s">
        <v>100</v>
      </c>
      <c r="L397" s="58" t="s">
        <v>199</v>
      </c>
      <c r="M397" s="58" t="str">
        <f>LEFT(Table1[[#This Row],[Tegevusala kood]],2)</f>
        <v>08</v>
      </c>
      <c r="N397" s="41" t="str">
        <f>VLOOKUP(Table1[[#This Row],[Tegevusala kood]],Table4[[Tegevusala kood]:[Tegevusala alanimetus]],2,FALSE)</f>
        <v>Ulvi Klubi</v>
      </c>
      <c r="O397" s="41" t="s">
        <v>1</v>
      </c>
      <c r="P397" s="41" t="s">
        <v>1</v>
      </c>
      <c r="Q397" s="41" t="str">
        <f>VLOOKUP(Table1[[#This Row],[Eelarvekonto]],Table5[[Konto]:[Kontode alanimetus]],5,FALSE)</f>
        <v>Tööjõukulud</v>
      </c>
      <c r="R397" s="42" t="str">
        <f>VLOOKUP(Table1[[#This Row],[Tegevusala kood]],Table4[[Tegevusala kood]:[Tegevusala alanimetus]],4,FALSE)</f>
        <v>Rahvakultuur</v>
      </c>
      <c r="S397" s="53"/>
      <c r="T397" s="53"/>
      <c r="U397" s="53">
        <f>Table1[[#This Row],[Summa]]+Table1[[#This Row],[I Muudatus]]+Table1[[#This Row],[II Muudatus]]</f>
        <v>11040</v>
      </c>
    </row>
    <row r="398" spans="1:21" ht="14.25" hidden="1" customHeight="1" x14ac:dyDescent="0.25">
      <c r="A398" s="41" t="s">
        <v>149</v>
      </c>
      <c r="B398" s="41">
        <v>8600</v>
      </c>
      <c r="C398" s="52">
        <v>551101</v>
      </c>
      <c r="D398" s="52" t="str">
        <f>LEFT(Table1[[#This Row],[Eelarvekonto]],2)</f>
        <v>55</v>
      </c>
      <c r="E398" s="41" t="str">
        <f>VLOOKUP(Table1[[#This Row],[Eelarvekonto]],Table5[[Konto]:[Konto nimetus]],2,FALSE)</f>
        <v>Elekter</v>
      </c>
      <c r="F398" s="41" t="s">
        <v>139</v>
      </c>
      <c r="G398" s="41" t="s">
        <v>24</v>
      </c>
      <c r="J398" s="41" t="s">
        <v>200</v>
      </c>
      <c r="K398" s="41" t="s">
        <v>100</v>
      </c>
      <c r="L398" s="58" t="s">
        <v>199</v>
      </c>
      <c r="M398" s="58" t="str">
        <f>LEFT(Table1[[#This Row],[Tegevusala kood]],2)</f>
        <v>08</v>
      </c>
      <c r="N398" s="41" t="str">
        <f>VLOOKUP(Table1[[#This Row],[Tegevusala kood]],Table4[[Tegevusala kood]:[Tegevusala alanimetus]],2,FALSE)</f>
        <v>Ulvi Klubi</v>
      </c>
      <c r="O398" s="41" t="s">
        <v>1</v>
      </c>
      <c r="P398" s="41" t="s">
        <v>1</v>
      </c>
      <c r="Q398" s="41" t="str">
        <f>VLOOKUP(Table1[[#This Row],[Eelarvekonto]],Table5[[Konto]:[Kontode alanimetus]],5,FALSE)</f>
        <v>Majandamiskulud</v>
      </c>
      <c r="R398" s="42" t="str">
        <f>VLOOKUP(Table1[[#This Row],[Tegevusala kood]],Table4[[Tegevusala kood]:[Tegevusala alanimetus]],4,FALSE)</f>
        <v>Rahvakultuur</v>
      </c>
      <c r="S398" s="53"/>
      <c r="T398" s="53"/>
      <c r="U398" s="53">
        <f>Table1[[#This Row],[Summa]]+Table1[[#This Row],[I Muudatus]]+Table1[[#This Row],[II Muudatus]]</f>
        <v>8600</v>
      </c>
    </row>
    <row r="399" spans="1:21" ht="14.25" hidden="1" customHeight="1" x14ac:dyDescent="0.25">
      <c r="A399" s="41" t="s">
        <v>479</v>
      </c>
      <c r="B399" s="41">
        <v>350</v>
      </c>
      <c r="C399" s="52">
        <v>551102</v>
      </c>
      <c r="D399" s="52" t="str">
        <f>LEFT(Table1[[#This Row],[Eelarvekonto]],2)</f>
        <v>55</v>
      </c>
      <c r="E399" s="41" t="str">
        <f>VLOOKUP(Table1[[#This Row],[Eelarvekonto]],Table5[[Konto]:[Konto nimetus]],2,FALSE)</f>
        <v>Vesi ja kanalisatsioon</v>
      </c>
      <c r="F399" s="41" t="s">
        <v>139</v>
      </c>
      <c r="G399" s="41" t="s">
        <v>24</v>
      </c>
      <c r="J399" s="41" t="s">
        <v>200</v>
      </c>
      <c r="K399" s="41" t="s">
        <v>100</v>
      </c>
      <c r="L399" s="58" t="s">
        <v>199</v>
      </c>
      <c r="M399" s="58" t="str">
        <f>LEFT(Table1[[#This Row],[Tegevusala kood]],2)</f>
        <v>08</v>
      </c>
      <c r="N399" s="41" t="str">
        <f>VLOOKUP(Table1[[#This Row],[Tegevusala kood]],Table4[[Tegevusala kood]:[Tegevusala alanimetus]],2,FALSE)</f>
        <v>Ulvi Klubi</v>
      </c>
      <c r="O399" s="41" t="s">
        <v>1</v>
      </c>
      <c r="P399" s="41" t="s">
        <v>1</v>
      </c>
      <c r="Q399" s="41" t="str">
        <f>VLOOKUP(Table1[[#This Row],[Eelarvekonto]],Table5[[Konto]:[Kontode alanimetus]],5,FALSE)</f>
        <v>Majandamiskulud</v>
      </c>
      <c r="R399" s="42" t="str">
        <f>VLOOKUP(Table1[[#This Row],[Tegevusala kood]],Table4[[Tegevusala kood]:[Tegevusala alanimetus]],4,FALSE)</f>
        <v>Rahvakultuur</v>
      </c>
      <c r="S399" s="53"/>
      <c r="T399" s="53"/>
      <c r="U399" s="53">
        <f>Table1[[#This Row],[Summa]]+Table1[[#This Row],[I Muudatus]]+Table1[[#This Row],[II Muudatus]]</f>
        <v>350</v>
      </c>
    </row>
    <row r="400" spans="1:21" ht="14.25" hidden="1" customHeight="1" x14ac:dyDescent="0.25">
      <c r="A400" s="41" t="s">
        <v>1073</v>
      </c>
      <c r="B400" s="41">
        <v>221.64</v>
      </c>
      <c r="C400" s="52">
        <v>5511</v>
      </c>
      <c r="D400" s="52" t="str">
        <f>LEFT(Table1[[#This Row],[Eelarvekonto]],2)</f>
        <v>55</v>
      </c>
      <c r="E400" s="41" t="str">
        <f>VLOOKUP(Table1[[#This Row],[Eelarvekonto]],Table5[[Konto]:[Konto nimetus]],2,FALSE)</f>
        <v>Kinnistute, hoonete ja ruumide majandamiskulud</v>
      </c>
      <c r="F400" s="41" t="s">
        <v>139</v>
      </c>
      <c r="G400" s="41" t="s">
        <v>24</v>
      </c>
      <c r="J400" s="41" t="s">
        <v>200</v>
      </c>
      <c r="K400" s="41" t="s">
        <v>100</v>
      </c>
      <c r="L400" s="58" t="s">
        <v>199</v>
      </c>
      <c r="M400" s="58" t="str">
        <f>LEFT(Table1[[#This Row],[Tegevusala kood]],2)</f>
        <v>08</v>
      </c>
      <c r="N400" s="41" t="str">
        <f>VLOOKUP(Table1[[#This Row],[Tegevusala kood]],Table4[[Tegevusala kood]:[Tegevusala alanimetus]],2,FALSE)</f>
        <v>Ulvi Klubi</v>
      </c>
      <c r="O400" s="41" t="s">
        <v>1</v>
      </c>
      <c r="P400" s="41" t="s">
        <v>1</v>
      </c>
      <c r="Q400" s="41" t="str">
        <f>VLOOKUP(Table1[[#This Row],[Eelarvekonto]],Table5[[Konto]:[Kontode alanimetus]],5,FALSE)</f>
        <v>Majandamiskulud</v>
      </c>
      <c r="R400" s="42" t="str">
        <f>VLOOKUP(Table1[[#This Row],[Tegevusala kood]],Table4[[Tegevusala kood]:[Tegevusala alanimetus]],4,FALSE)</f>
        <v>Rahvakultuur</v>
      </c>
      <c r="S400" s="53"/>
      <c r="T400" s="53"/>
      <c r="U400" s="53">
        <f>Table1[[#This Row],[Summa]]+Table1[[#This Row],[I Muudatus]]+Table1[[#This Row],[II Muudatus]]</f>
        <v>221.64</v>
      </c>
    </row>
    <row r="401" spans="1:21" ht="14.25" hidden="1" customHeight="1" x14ac:dyDescent="0.25">
      <c r="A401" s="41" t="s">
        <v>484</v>
      </c>
      <c r="B401" s="41">
        <v>20</v>
      </c>
      <c r="C401" s="52">
        <v>5511</v>
      </c>
      <c r="D401" s="52" t="str">
        <f>LEFT(Table1[[#This Row],[Eelarvekonto]],2)</f>
        <v>55</v>
      </c>
      <c r="E401" s="41" t="str">
        <f>VLOOKUP(Table1[[#This Row],[Eelarvekonto]],Table5[[Konto]:[Konto nimetus]],2,FALSE)</f>
        <v>Kinnistute, hoonete ja ruumide majandamiskulud</v>
      </c>
      <c r="F401" s="41" t="s">
        <v>139</v>
      </c>
      <c r="G401" s="41" t="s">
        <v>24</v>
      </c>
      <c r="J401" s="41" t="s">
        <v>200</v>
      </c>
      <c r="K401" s="41" t="s">
        <v>100</v>
      </c>
      <c r="L401" s="58" t="s">
        <v>199</v>
      </c>
      <c r="M401" s="58" t="str">
        <f>LEFT(Table1[[#This Row],[Tegevusala kood]],2)</f>
        <v>08</v>
      </c>
      <c r="N401" s="41" t="str">
        <f>VLOOKUP(Table1[[#This Row],[Tegevusala kood]],Table4[[Tegevusala kood]:[Tegevusala alanimetus]],2,FALSE)</f>
        <v>Ulvi Klubi</v>
      </c>
      <c r="O401" s="41" t="s">
        <v>1</v>
      </c>
      <c r="P401" s="41" t="s">
        <v>1</v>
      </c>
      <c r="Q401" s="41" t="str">
        <f>VLOOKUP(Table1[[#This Row],[Eelarvekonto]],Table5[[Konto]:[Kontode alanimetus]],5,FALSE)</f>
        <v>Majandamiskulud</v>
      </c>
      <c r="R401" s="42" t="str">
        <f>VLOOKUP(Table1[[#This Row],[Tegevusala kood]],Table4[[Tegevusala kood]:[Tegevusala alanimetus]],4,FALSE)</f>
        <v>Rahvakultuur</v>
      </c>
      <c r="S401" s="53"/>
      <c r="T401" s="53"/>
      <c r="U401" s="53">
        <f>Table1[[#This Row],[Summa]]+Table1[[#This Row],[I Muudatus]]+Table1[[#This Row],[II Muudatus]]</f>
        <v>20</v>
      </c>
    </row>
    <row r="402" spans="1:21" ht="14.25" hidden="1" customHeight="1" x14ac:dyDescent="0.25">
      <c r="A402" s="41" t="s">
        <v>483</v>
      </c>
      <c r="B402" s="41">
        <v>73.56</v>
      </c>
      <c r="C402" s="52">
        <v>551102</v>
      </c>
      <c r="D402" s="52" t="str">
        <f>LEFT(Table1[[#This Row],[Eelarvekonto]],2)</f>
        <v>55</v>
      </c>
      <c r="E402" s="41" t="str">
        <f>VLOOKUP(Table1[[#This Row],[Eelarvekonto]],Table5[[Konto]:[Konto nimetus]],2,FALSE)</f>
        <v>Vesi ja kanalisatsioon</v>
      </c>
      <c r="F402" s="41" t="s">
        <v>139</v>
      </c>
      <c r="G402" s="41" t="s">
        <v>24</v>
      </c>
      <c r="J402" s="41" t="s">
        <v>200</v>
      </c>
      <c r="K402" s="41" t="s">
        <v>100</v>
      </c>
      <c r="L402" s="58" t="s">
        <v>199</v>
      </c>
      <c r="M402" s="58" t="str">
        <f>LEFT(Table1[[#This Row],[Tegevusala kood]],2)</f>
        <v>08</v>
      </c>
      <c r="N402" s="41" t="str">
        <f>VLOOKUP(Table1[[#This Row],[Tegevusala kood]],Table4[[Tegevusala kood]:[Tegevusala alanimetus]],2,FALSE)</f>
        <v>Ulvi Klubi</v>
      </c>
      <c r="O402" s="41" t="s">
        <v>1</v>
      </c>
      <c r="P402" s="41" t="s">
        <v>1</v>
      </c>
      <c r="Q402" s="41" t="str">
        <f>VLOOKUP(Table1[[#This Row],[Eelarvekonto]],Table5[[Konto]:[Kontode alanimetus]],5,FALSE)</f>
        <v>Majandamiskulud</v>
      </c>
      <c r="R402" s="42" t="str">
        <f>VLOOKUP(Table1[[#This Row],[Tegevusala kood]],Table4[[Tegevusala kood]:[Tegevusala alanimetus]],4,FALSE)</f>
        <v>Rahvakultuur</v>
      </c>
      <c r="S402" s="53"/>
      <c r="T402" s="53"/>
      <c r="U402" s="53">
        <f>Table1[[#This Row],[Summa]]+Table1[[#This Row],[I Muudatus]]+Table1[[#This Row],[II Muudatus]]</f>
        <v>73.56</v>
      </c>
    </row>
    <row r="403" spans="1:21" ht="14.25" hidden="1" customHeight="1" x14ac:dyDescent="0.25">
      <c r="A403" s="41" t="s">
        <v>482</v>
      </c>
      <c r="B403" s="41">
        <v>500</v>
      </c>
      <c r="C403" s="52">
        <v>5511</v>
      </c>
      <c r="D403" s="52" t="str">
        <f>LEFT(Table1[[#This Row],[Eelarvekonto]],2)</f>
        <v>55</v>
      </c>
      <c r="E403" s="41" t="str">
        <f>VLOOKUP(Table1[[#This Row],[Eelarvekonto]],Table5[[Konto]:[Konto nimetus]],2,FALSE)</f>
        <v>Kinnistute, hoonete ja ruumide majandamiskulud</v>
      </c>
      <c r="F403" s="41" t="s">
        <v>139</v>
      </c>
      <c r="G403" s="41" t="s">
        <v>24</v>
      </c>
      <c r="J403" s="41" t="s">
        <v>200</v>
      </c>
      <c r="K403" s="41" t="s">
        <v>100</v>
      </c>
      <c r="L403" s="58" t="s">
        <v>199</v>
      </c>
      <c r="M403" s="58" t="str">
        <f>LEFT(Table1[[#This Row],[Tegevusala kood]],2)</f>
        <v>08</v>
      </c>
      <c r="N403" s="41" t="str">
        <f>VLOOKUP(Table1[[#This Row],[Tegevusala kood]],Table4[[Tegevusala kood]:[Tegevusala alanimetus]],2,FALSE)</f>
        <v>Ulvi Klubi</v>
      </c>
      <c r="O403" s="41" t="s">
        <v>1</v>
      </c>
      <c r="P403" s="41" t="s">
        <v>1</v>
      </c>
      <c r="Q403" s="41" t="str">
        <f>VLOOKUP(Table1[[#This Row],[Eelarvekonto]],Table5[[Konto]:[Kontode alanimetus]],5,FALSE)</f>
        <v>Majandamiskulud</v>
      </c>
      <c r="R403" s="42" t="str">
        <f>VLOOKUP(Table1[[#This Row],[Tegevusala kood]],Table4[[Tegevusala kood]:[Tegevusala alanimetus]],4,FALSE)</f>
        <v>Rahvakultuur</v>
      </c>
      <c r="S403" s="53"/>
      <c r="T403" s="53"/>
      <c r="U403" s="53">
        <f>Table1[[#This Row],[Summa]]+Table1[[#This Row],[I Muudatus]]+Table1[[#This Row],[II Muudatus]]</f>
        <v>500</v>
      </c>
    </row>
    <row r="404" spans="1:21" ht="14.25" hidden="1" customHeight="1" x14ac:dyDescent="0.25">
      <c r="A404" s="41" t="s">
        <v>481</v>
      </c>
      <c r="B404" s="41">
        <v>3000</v>
      </c>
      <c r="C404" s="52">
        <v>5511</v>
      </c>
      <c r="D404" s="52" t="str">
        <f>LEFT(Table1[[#This Row],[Eelarvekonto]],2)</f>
        <v>55</v>
      </c>
      <c r="E404" s="41" t="str">
        <f>VLOOKUP(Table1[[#This Row],[Eelarvekonto]],Table5[[Konto]:[Konto nimetus]],2,FALSE)</f>
        <v>Kinnistute, hoonete ja ruumide majandamiskulud</v>
      </c>
      <c r="F404" s="41" t="s">
        <v>139</v>
      </c>
      <c r="G404" s="41" t="s">
        <v>24</v>
      </c>
      <c r="J404" s="41" t="s">
        <v>200</v>
      </c>
      <c r="K404" s="41" t="s">
        <v>100</v>
      </c>
      <c r="L404" s="58" t="s">
        <v>199</v>
      </c>
      <c r="M404" s="58" t="str">
        <f>LEFT(Table1[[#This Row],[Tegevusala kood]],2)</f>
        <v>08</v>
      </c>
      <c r="N404" s="41" t="str">
        <f>VLOOKUP(Table1[[#This Row],[Tegevusala kood]],Table4[[Tegevusala kood]:[Tegevusala alanimetus]],2,FALSE)</f>
        <v>Ulvi Klubi</v>
      </c>
      <c r="O404" s="41" t="s">
        <v>1</v>
      </c>
      <c r="P404" s="41" t="s">
        <v>1</v>
      </c>
      <c r="Q404" s="41" t="str">
        <f>VLOOKUP(Table1[[#This Row],[Eelarvekonto]],Table5[[Konto]:[Kontode alanimetus]],5,FALSE)</f>
        <v>Majandamiskulud</v>
      </c>
      <c r="R404" s="42" t="str">
        <f>VLOOKUP(Table1[[#This Row],[Tegevusala kood]],Table4[[Tegevusala kood]:[Tegevusala alanimetus]],4,FALSE)</f>
        <v>Rahvakultuur</v>
      </c>
      <c r="S404" s="53"/>
      <c r="T404" s="53"/>
      <c r="U404" s="53">
        <f>Table1[[#This Row],[Summa]]+Table1[[#This Row],[I Muudatus]]+Table1[[#This Row],[II Muudatus]]</f>
        <v>3000</v>
      </c>
    </row>
    <row r="405" spans="1:21" ht="14.25" hidden="1" customHeight="1" x14ac:dyDescent="0.25">
      <c r="A405" s="41" t="s">
        <v>1074</v>
      </c>
      <c r="B405" s="41">
        <v>221.64</v>
      </c>
      <c r="C405" s="52">
        <v>5511</v>
      </c>
      <c r="D405" s="52" t="str">
        <f>LEFT(Table1[[#This Row],[Eelarvekonto]],2)</f>
        <v>55</v>
      </c>
      <c r="E405" s="41" t="str">
        <f>VLOOKUP(Table1[[#This Row],[Eelarvekonto]],Table5[[Konto]:[Konto nimetus]],2,FALSE)</f>
        <v>Kinnistute, hoonete ja ruumide majandamiskulud</v>
      </c>
      <c r="F405" s="41" t="s">
        <v>139</v>
      </c>
      <c r="G405" s="41" t="s">
        <v>24</v>
      </c>
      <c r="J405" s="41" t="s">
        <v>306</v>
      </c>
      <c r="K405" s="41" t="s">
        <v>304</v>
      </c>
      <c r="L405" s="58" t="s">
        <v>305</v>
      </c>
      <c r="M405" s="58" t="str">
        <f>LEFT(Table1[[#This Row],[Tegevusala kood]],2)</f>
        <v>09</v>
      </c>
      <c r="N405" s="41" t="str">
        <f>VLOOKUP(Table1[[#This Row],[Tegevusala kood]],Table4[[Tegevusala kood]:[Tegevusala alanimetus]],2,FALSE)</f>
        <v>Vinni Lasteaed</v>
      </c>
      <c r="O405" s="41" t="s">
        <v>1</v>
      </c>
      <c r="P405" s="41" t="s">
        <v>1</v>
      </c>
      <c r="Q405" s="41" t="str">
        <f>VLOOKUP(Table1[[#This Row],[Eelarvekonto]],Table5[[Konto]:[Kontode alanimetus]],5,FALSE)</f>
        <v>Majandamiskulud</v>
      </c>
      <c r="R405" s="42" t="str">
        <f>VLOOKUP(Table1[[#This Row],[Tegevusala kood]],Table4[[Tegevusala kood]:[Tegevusala alanimetus]],4,FALSE)</f>
        <v>Alusharidus</v>
      </c>
      <c r="S405" s="53"/>
      <c r="T405" s="53"/>
      <c r="U405" s="53">
        <f>Table1[[#This Row],[Summa]]+Table1[[#This Row],[I Muudatus]]+Table1[[#This Row],[II Muudatus]]</f>
        <v>221.64</v>
      </c>
    </row>
    <row r="406" spans="1:21" ht="14.25" hidden="1" customHeight="1" x14ac:dyDescent="0.25">
      <c r="A406" s="41" t="s">
        <v>564</v>
      </c>
      <c r="B406" s="41">
        <v>1200</v>
      </c>
      <c r="C406" s="52">
        <v>5511</v>
      </c>
      <c r="D406" s="52" t="str">
        <f>LEFT(Table1[[#This Row],[Eelarvekonto]],2)</f>
        <v>55</v>
      </c>
      <c r="E406" s="41" t="str">
        <f>VLOOKUP(Table1[[#This Row],[Eelarvekonto]],Table5[[Konto]:[Konto nimetus]],2,FALSE)</f>
        <v>Kinnistute, hoonete ja ruumide majandamiskulud</v>
      </c>
      <c r="F406" s="41" t="s">
        <v>139</v>
      </c>
      <c r="G406" s="41" t="s">
        <v>24</v>
      </c>
      <c r="J406" s="41" t="s">
        <v>306</v>
      </c>
      <c r="K406" s="41" t="s">
        <v>304</v>
      </c>
      <c r="L406" s="58" t="s">
        <v>305</v>
      </c>
      <c r="M406" s="58" t="str">
        <f>LEFT(Table1[[#This Row],[Tegevusala kood]],2)</f>
        <v>09</v>
      </c>
      <c r="N406" s="41" t="str">
        <f>VLOOKUP(Table1[[#This Row],[Tegevusala kood]],Table4[[Tegevusala kood]:[Tegevusala alanimetus]],2,FALSE)</f>
        <v>Vinni Lasteaed</v>
      </c>
      <c r="O406" s="41" t="s">
        <v>1</v>
      </c>
      <c r="P406" s="41" t="s">
        <v>1</v>
      </c>
      <c r="Q406" s="41" t="str">
        <f>VLOOKUP(Table1[[#This Row],[Eelarvekonto]],Table5[[Konto]:[Kontode alanimetus]],5,FALSE)</f>
        <v>Majandamiskulud</v>
      </c>
      <c r="R406" s="42" t="str">
        <f>VLOOKUP(Table1[[#This Row],[Tegevusala kood]],Table4[[Tegevusala kood]:[Tegevusala alanimetus]],4,FALSE)</f>
        <v>Alusharidus</v>
      </c>
      <c r="S406" s="53"/>
      <c r="T406" s="53"/>
      <c r="U406" s="53">
        <f>Table1[[#This Row],[Summa]]+Table1[[#This Row],[I Muudatus]]+Table1[[#This Row],[II Muudatus]]</f>
        <v>1200</v>
      </c>
    </row>
    <row r="407" spans="1:21" ht="14.25" hidden="1" customHeight="1" x14ac:dyDescent="0.25">
      <c r="A407" s="41" t="s">
        <v>960</v>
      </c>
      <c r="B407" s="41">
        <v>876.67</v>
      </c>
      <c r="C407" s="52">
        <v>5005</v>
      </c>
      <c r="D407" s="52" t="str">
        <f>LEFT(Table1[[#This Row],[Eelarvekonto]],2)</f>
        <v>50</v>
      </c>
      <c r="E407" s="41" t="str">
        <f>VLOOKUP(Table1[[#This Row],[Eelarvekonto]],Table5[[Konto]:[Konto nimetus]],2,FALSE)</f>
        <v>Töötasud võlaõiguslike lepingute alusel</v>
      </c>
      <c r="F407" s="41" t="s">
        <v>139</v>
      </c>
      <c r="G407" s="41" t="s">
        <v>24</v>
      </c>
      <c r="J407" s="41" t="s">
        <v>306</v>
      </c>
      <c r="K407" s="41" t="s">
        <v>304</v>
      </c>
      <c r="L407" s="58" t="s">
        <v>305</v>
      </c>
      <c r="M407" s="58" t="str">
        <f>LEFT(Table1[[#This Row],[Tegevusala kood]],2)</f>
        <v>09</v>
      </c>
      <c r="N407" s="41" t="str">
        <f>VLOOKUP(Table1[[#This Row],[Tegevusala kood]],Table4[[Tegevusala kood]:[Tegevusala alanimetus]],2,FALSE)</f>
        <v>Vinni Lasteaed</v>
      </c>
      <c r="O407" s="41" t="s">
        <v>1</v>
      </c>
      <c r="P407" s="41" t="s">
        <v>1</v>
      </c>
      <c r="Q407" s="41" t="str">
        <f>VLOOKUP(Table1[[#This Row],[Eelarvekonto]],Table5[[Konto]:[Kontode alanimetus]],5,FALSE)</f>
        <v>Tööjõukulud</v>
      </c>
      <c r="R407" s="42" t="str">
        <f>VLOOKUP(Table1[[#This Row],[Tegevusala kood]],Table4[[Tegevusala kood]:[Tegevusala alanimetus]],4,FALSE)</f>
        <v>Alusharidus</v>
      </c>
      <c r="S407" s="53"/>
      <c r="T407" s="53"/>
      <c r="U407" s="53">
        <f>Table1[[#This Row],[Summa]]+Table1[[#This Row],[I Muudatus]]+Table1[[#This Row],[II Muudatus]]</f>
        <v>876.67</v>
      </c>
    </row>
    <row r="408" spans="1:21" ht="14.25" hidden="1" customHeight="1" x14ac:dyDescent="0.25">
      <c r="A408" s="41" t="s">
        <v>1075</v>
      </c>
      <c r="B408" s="41">
        <v>2630</v>
      </c>
      <c r="C408" s="52">
        <v>5005</v>
      </c>
      <c r="D408" s="52" t="str">
        <f>LEFT(Table1[[#This Row],[Eelarvekonto]],2)</f>
        <v>50</v>
      </c>
      <c r="E408" s="41" t="str">
        <f>VLOOKUP(Table1[[#This Row],[Eelarvekonto]],Table5[[Konto]:[Konto nimetus]],2,FALSE)</f>
        <v>Töötasud võlaõiguslike lepingute alusel</v>
      </c>
      <c r="F408" s="41" t="s">
        <v>139</v>
      </c>
      <c r="G408" s="41" t="s">
        <v>24</v>
      </c>
      <c r="J408" s="41" t="s">
        <v>306</v>
      </c>
      <c r="K408" s="41" t="s">
        <v>304</v>
      </c>
      <c r="L408" s="58" t="s">
        <v>305</v>
      </c>
      <c r="M408" s="58" t="str">
        <f>LEFT(Table1[[#This Row],[Tegevusala kood]],2)</f>
        <v>09</v>
      </c>
      <c r="N408" s="41" t="str">
        <f>VLOOKUP(Table1[[#This Row],[Tegevusala kood]],Table4[[Tegevusala kood]:[Tegevusala alanimetus]],2,FALSE)</f>
        <v>Vinni Lasteaed</v>
      </c>
      <c r="O408" s="41" t="s">
        <v>1</v>
      </c>
      <c r="P408" s="41" t="s">
        <v>1</v>
      </c>
      <c r="Q408" s="41" t="str">
        <f>VLOOKUP(Table1[[#This Row],[Eelarvekonto]],Table5[[Konto]:[Kontode alanimetus]],5,FALSE)</f>
        <v>Tööjõukulud</v>
      </c>
      <c r="R408" s="42" t="str">
        <f>VLOOKUP(Table1[[#This Row],[Tegevusala kood]],Table4[[Tegevusala kood]:[Tegevusala alanimetus]],4,FALSE)</f>
        <v>Alusharidus</v>
      </c>
      <c r="S408" s="53"/>
      <c r="T408" s="53"/>
      <c r="U408" s="53">
        <f>Table1[[#This Row],[Summa]]+Table1[[#This Row],[I Muudatus]]+Table1[[#This Row],[II Muudatus]]</f>
        <v>2630</v>
      </c>
    </row>
    <row r="409" spans="1:21" ht="14.25" hidden="1" customHeight="1" x14ac:dyDescent="0.25">
      <c r="A409" s="41" t="s">
        <v>455</v>
      </c>
      <c r="B409" s="41">
        <v>256</v>
      </c>
      <c r="C409" s="52">
        <v>5002</v>
      </c>
      <c r="D409" s="52" t="str">
        <f>LEFT(Table1[[#This Row],[Eelarvekonto]],2)</f>
        <v>50</v>
      </c>
      <c r="E409" s="41" t="str">
        <f>VLOOKUP(Table1[[#This Row],[Eelarvekonto]],Table5[[Konto]:[Konto nimetus]],2,FALSE)</f>
        <v>Töötajate töötasud</v>
      </c>
      <c r="F409" s="41" t="s">
        <v>139</v>
      </c>
      <c r="G409" s="41" t="s">
        <v>24</v>
      </c>
      <c r="J409" s="41" t="s">
        <v>306</v>
      </c>
      <c r="K409" s="41" t="s">
        <v>304</v>
      </c>
      <c r="L409" s="58" t="s">
        <v>305</v>
      </c>
      <c r="M409" s="58" t="str">
        <f>LEFT(Table1[[#This Row],[Tegevusala kood]],2)</f>
        <v>09</v>
      </c>
      <c r="N409" s="41" t="str">
        <f>VLOOKUP(Table1[[#This Row],[Tegevusala kood]],Table4[[Tegevusala kood]:[Tegevusala alanimetus]],2,FALSE)</f>
        <v>Vinni Lasteaed</v>
      </c>
      <c r="O409" s="41" t="s">
        <v>1</v>
      </c>
      <c r="P409" s="41" t="s">
        <v>1</v>
      </c>
      <c r="Q409" s="41" t="str">
        <f>VLOOKUP(Table1[[#This Row],[Eelarvekonto]],Table5[[Konto]:[Kontode alanimetus]],5,FALSE)</f>
        <v>Tööjõukulud</v>
      </c>
      <c r="R409" s="42" t="str">
        <f>VLOOKUP(Table1[[#This Row],[Tegevusala kood]],Table4[[Tegevusala kood]:[Tegevusala alanimetus]],4,FALSE)</f>
        <v>Alusharidus</v>
      </c>
      <c r="S409" s="53"/>
      <c r="T409" s="53"/>
      <c r="U409" s="53">
        <f>Table1[[#This Row],[Summa]]+Table1[[#This Row],[I Muudatus]]+Table1[[#This Row],[II Muudatus]]</f>
        <v>256</v>
      </c>
    </row>
    <row r="410" spans="1:21" ht="14.25" hidden="1" customHeight="1" x14ac:dyDescent="0.25">
      <c r="A410" s="41" t="s">
        <v>961</v>
      </c>
      <c r="B410" s="41">
        <v>657.5</v>
      </c>
      <c r="C410" s="52">
        <v>5005</v>
      </c>
      <c r="D410" s="52" t="str">
        <f>LEFT(Table1[[#This Row],[Eelarvekonto]],2)</f>
        <v>50</v>
      </c>
      <c r="E410" s="41" t="str">
        <f>VLOOKUP(Table1[[#This Row],[Eelarvekonto]],Table5[[Konto]:[Konto nimetus]],2,FALSE)</f>
        <v>Töötasud võlaõiguslike lepingute alusel</v>
      </c>
      <c r="F410" s="41" t="s">
        <v>139</v>
      </c>
      <c r="G410" s="41" t="s">
        <v>24</v>
      </c>
      <c r="J410" s="41" t="s">
        <v>306</v>
      </c>
      <c r="K410" s="41" t="s">
        <v>304</v>
      </c>
      <c r="L410" s="58" t="s">
        <v>305</v>
      </c>
      <c r="M410" s="58" t="str">
        <f>LEFT(Table1[[#This Row],[Tegevusala kood]],2)</f>
        <v>09</v>
      </c>
      <c r="N410" s="41" t="str">
        <f>VLOOKUP(Table1[[#This Row],[Tegevusala kood]],Table4[[Tegevusala kood]:[Tegevusala alanimetus]],2,FALSE)</f>
        <v>Vinni Lasteaed</v>
      </c>
      <c r="O410" s="41" t="s">
        <v>1</v>
      </c>
      <c r="P410" s="41" t="s">
        <v>1</v>
      </c>
      <c r="Q410" s="41" t="str">
        <f>VLOOKUP(Table1[[#This Row],[Eelarvekonto]],Table5[[Konto]:[Kontode alanimetus]],5,FALSE)</f>
        <v>Tööjõukulud</v>
      </c>
      <c r="R410" s="42" t="str">
        <f>VLOOKUP(Table1[[#This Row],[Tegevusala kood]],Table4[[Tegevusala kood]:[Tegevusala alanimetus]],4,FALSE)</f>
        <v>Alusharidus</v>
      </c>
      <c r="S410" s="53"/>
      <c r="T410" s="53"/>
      <c r="U410" s="53">
        <f>Table1[[#This Row],[Summa]]+Table1[[#This Row],[I Muudatus]]+Table1[[#This Row],[II Muudatus]]</f>
        <v>657.5</v>
      </c>
    </row>
    <row r="411" spans="1:21" ht="14.25" hidden="1" customHeight="1" x14ac:dyDescent="0.25">
      <c r="A411" s="41" t="s">
        <v>959</v>
      </c>
      <c r="B411" s="41">
        <v>1404</v>
      </c>
      <c r="C411" s="52">
        <v>5005</v>
      </c>
      <c r="D411" s="52" t="str">
        <f>LEFT(Table1[[#This Row],[Eelarvekonto]],2)</f>
        <v>50</v>
      </c>
      <c r="E411" s="41" t="str">
        <f>VLOOKUP(Table1[[#This Row],[Eelarvekonto]],Table5[[Konto]:[Konto nimetus]],2,FALSE)</f>
        <v>Töötasud võlaõiguslike lepingute alusel</v>
      </c>
      <c r="F411" s="41" t="s">
        <v>139</v>
      </c>
      <c r="G411" s="41" t="s">
        <v>24</v>
      </c>
      <c r="J411" s="41" t="s">
        <v>306</v>
      </c>
      <c r="K411" s="41" t="s">
        <v>304</v>
      </c>
      <c r="L411" s="58" t="s">
        <v>305</v>
      </c>
      <c r="M411" s="58" t="str">
        <f>LEFT(Table1[[#This Row],[Tegevusala kood]],2)</f>
        <v>09</v>
      </c>
      <c r="N411" s="41" t="str">
        <f>VLOOKUP(Table1[[#This Row],[Tegevusala kood]],Table4[[Tegevusala kood]:[Tegevusala alanimetus]],2,FALSE)</f>
        <v>Vinni Lasteaed</v>
      </c>
      <c r="O411" s="41" t="s">
        <v>1</v>
      </c>
      <c r="P411" s="41" t="s">
        <v>1</v>
      </c>
      <c r="Q411" s="41" t="str">
        <f>VLOOKUP(Table1[[#This Row],[Eelarvekonto]],Table5[[Konto]:[Kontode alanimetus]],5,FALSE)</f>
        <v>Tööjõukulud</v>
      </c>
      <c r="R411" s="42" t="str">
        <f>VLOOKUP(Table1[[#This Row],[Tegevusala kood]],Table4[[Tegevusala kood]:[Tegevusala alanimetus]],4,FALSE)</f>
        <v>Alusharidus</v>
      </c>
      <c r="S411" s="53"/>
      <c r="T411" s="53"/>
      <c r="U411" s="53">
        <f>Table1[[#This Row],[Summa]]+Table1[[#This Row],[I Muudatus]]+Table1[[#This Row],[II Muudatus]]</f>
        <v>1404</v>
      </c>
    </row>
    <row r="412" spans="1:21" ht="14.25" hidden="1" customHeight="1" x14ac:dyDescent="0.25">
      <c r="A412" s="41" t="s">
        <v>537</v>
      </c>
      <c r="B412" s="41">
        <v>704</v>
      </c>
      <c r="C412" s="52">
        <v>5513081</v>
      </c>
      <c r="D412" s="52" t="str">
        <f>LEFT(Table1[[#This Row],[Eelarvekonto]],2)</f>
        <v>55</v>
      </c>
      <c r="E412" s="41" t="str">
        <f>VLOOKUP(Table1[[#This Row],[Eelarvekonto]],Table5[[Konto]:[Konto nimetus]],2,FALSE)</f>
        <v>Isikliku sõiduauto kompensatsioon</v>
      </c>
      <c r="F412" s="41" t="s">
        <v>139</v>
      </c>
      <c r="G412" s="41" t="s">
        <v>24</v>
      </c>
      <c r="J412" s="41" t="s">
        <v>306</v>
      </c>
      <c r="K412" s="41" t="s">
        <v>304</v>
      </c>
      <c r="L412" s="58" t="s">
        <v>305</v>
      </c>
      <c r="M412" s="58" t="str">
        <f>LEFT(Table1[[#This Row],[Tegevusala kood]],2)</f>
        <v>09</v>
      </c>
      <c r="N412" s="41" t="str">
        <f>VLOOKUP(Table1[[#This Row],[Tegevusala kood]],Table4[[Tegevusala kood]:[Tegevusala alanimetus]],2,FALSE)</f>
        <v>Vinni Lasteaed</v>
      </c>
      <c r="O412" s="41" t="s">
        <v>1</v>
      </c>
      <c r="P412" s="41" t="s">
        <v>1</v>
      </c>
      <c r="Q412" s="41" t="str">
        <f>VLOOKUP(Table1[[#This Row],[Eelarvekonto]],Table5[[Konto]:[Kontode alanimetus]],5,FALSE)</f>
        <v>Majandamiskulud</v>
      </c>
      <c r="R412" s="42" t="str">
        <f>VLOOKUP(Table1[[#This Row],[Tegevusala kood]],Table4[[Tegevusala kood]:[Tegevusala alanimetus]],4,FALSE)</f>
        <v>Alusharidus</v>
      </c>
      <c r="S412" s="53"/>
      <c r="T412" s="53"/>
      <c r="U412" s="53">
        <f>Table1[[#This Row],[Summa]]+Table1[[#This Row],[I Muudatus]]+Table1[[#This Row],[II Muudatus]]</f>
        <v>704</v>
      </c>
    </row>
    <row r="413" spans="1:21" ht="14.25" hidden="1" customHeight="1" x14ac:dyDescent="0.25">
      <c r="A413" s="41" t="s">
        <v>472</v>
      </c>
      <c r="B413" s="41">
        <v>704</v>
      </c>
      <c r="C413" s="52">
        <v>5513081</v>
      </c>
      <c r="D413" s="52" t="str">
        <f>LEFT(Table1[[#This Row],[Eelarvekonto]],2)</f>
        <v>55</v>
      </c>
      <c r="E413" s="41" t="str">
        <f>VLOOKUP(Table1[[#This Row],[Eelarvekonto]],Table5[[Konto]:[Konto nimetus]],2,FALSE)</f>
        <v>Isikliku sõiduauto kompensatsioon</v>
      </c>
      <c r="F413" s="41" t="s">
        <v>139</v>
      </c>
      <c r="G413" s="41" t="s">
        <v>24</v>
      </c>
      <c r="J413" s="41" t="s">
        <v>306</v>
      </c>
      <c r="K413" s="41" t="s">
        <v>304</v>
      </c>
      <c r="L413" s="58" t="s">
        <v>305</v>
      </c>
      <c r="M413" s="58" t="str">
        <f>LEFT(Table1[[#This Row],[Tegevusala kood]],2)</f>
        <v>09</v>
      </c>
      <c r="N413" s="41" t="str">
        <f>VLOOKUP(Table1[[#This Row],[Tegevusala kood]],Table4[[Tegevusala kood]:[Tegevusala alanimetus]],2,FALSE)</f>
        <v>Vinni Lasteaed</v>
      </c>
      <c r="O413" s="41" t="s">
        <v>1</v>
      </c>
      <c r="P413" s="41" t="s">
        <v>1</v>
      </c>
      <c r="Q413" s="41" t="str">
        <f>VLOOKUP(Table1[[#This Row],[Eelarvekonto]],Table5[[Konto]:[Kontode alanimetus]],5,FALSE)</f>
        <v>Majandamiskulud</v>
      </c>
      <c r="R413" s="42" t="str">
        <f>VLOOKUP(Table1[[#This Row],[Tegevusala kood]],Table4[[Tegevusala kood]:[Tegevusala alanimetus]],4,FALSE)</f>
        <v>Alusharidus</v>
      </c>
      <c r="S413" s="53"/>
      <c r="T413" s="53"/>
      <c r="U413" s="53">
        <f>Table1[[#This Row],[Summa]]+Table1[[#This Row],[I Muudatus]]+Table1[[#This Row],[II Muudatus]]</f>
        <v>704</v>
      </c>
    </row>
    <row r="414" spans="1:21" ht="14.25" hidden="1" customHeight="1" x14ac:dyDescent="0.25">
      <c r="A414" s="41" t="s">
        <v>158</v>
      </c>
      <c r="B414" s="41">
        <v>117586.88</v>
      </c>
      <c r="C414" s="52">
        <v>506</v>
      </c>
      <c r="D414" s="52" t="str">
        <f>LEFT(Table1[[#This Row],[Eelarvekonto]],2)</f>
        <v>50</v>
      </c>
      <c r="E414" s="41" t="str">
        <f>VLOOKUP(Table1[[#This Row],[Eelarvekonto]],Table5[[Konto]:[Konto nimetus]],2,FALSE)</f>
        <v>Tööjõukuludega kaasnevad maksud ja sotsiaalkindlustusmaksed</v>
      </c>
      <c r="F414" s="41" t="s">
        <v>139</v>
      </c>
      <c r="G414" s="41" t="s">
        <v>24</v>
      </c>
      <c r="J414" s="41" t="s">
        <v>306</v>
      </c>
      <c r="K414" s="41" t="s">
        <v>304</v>
      </c>
      <c r="L414" s="58" t="s">
        <v>305</v>
      </c>
      <c r="M414" s="58" t="str">
        <f>LEFT(Table1[[#This Row],[Tegevusala kood]],2)</f>
        <v>09</v>
      </c>
      <c r="N414" s="41" t="str">
        <f>VLOOKUP(Table1[[#This Row],[Tegevusala kood]],Table4[[Tegevusala kood]:[Tegevusala alanimetus]],2,FALSE)</f>
        <v>Vinni Lasteaed</v>
      </c>
      <c r="O414" s="41" t="s">
        <v>1</v>
      </c>
      <c r="P414" s="41" t="s">
        <v>1</v>
      </c>
      <c r="Q414" s="41" t="str">
        <f>VLOOKUP(Table1[[#This Row],[Eelarvekonto]],Table5[[Konto]:[Kontode alanimetus]],5,FALSE)</f>
        <v>Tööjõukulud</v>
      </c>
      <c r="R414" s="42" t="str">
        <f>VLOOKUP(Table1[[#This Row],[Tegevusala kood]],Table4[[Tegevusala kood]:[Tegevusala alanimetus]],4,FALSE)</f>
        <v>Alusharidus</v>
      </c>
      <c r="S414" s="53"/>
      <c r="T414" s="53"/>
      <c r="U414" s="53">
        <f>Table1[[#This Row],[Summa]]+Table1[[#This Row],[I Muudatus]]+Table1[[#This Row],[II Muudatus]]</f>
        <v>117586.88</v>
      </c>
    </row>
    <row r="415" spans="1:21" ht="14.25" hidden="1" customHeight="1" x14ac:dyDescent="0.25">
      <c r="A415" s="41" t="s">
        <v>563</v>
      </c>
      <c r="B415" s="64">
        <v>50544</v>
      </c>
      <c r="C415" s="52">
        <v>5002</v>
      </c>
      <c r="D415" s="52" t="str">
        <f>LEFT(Table1[[#This Row],[Eelarvekonto]],2)</f>
        <v>50</v>
      </c>
      <c r="E415" s="41" t="str">
        <f>VLOOKUP(Table1[[#This Row],[Eelarvekonto]],Table5[[Konto]:[Konto nimetus]],2,FALSE)</f>
        <v>Töötajate töötasud</v>
      </c>
      <c r="F415" s="41" t="s">
        <v>139</v>
      </c>
      <c r="G415" s="41" t="s">
        <v>24</v>
      </c>
      <c r="J415" s="41" t="s">
        <v>306</v>
      </c>
      <c r="K415" s="41" t="s">
        <v>304</v>
      </c>
      <c r="L415" s="58" t="s">
        <v>305</v>
      </c>
      <c r="M415" s="58" t="str">
        <f>LEFT(Table1[[#This Row],[Tegevusala kood]],2)</f>
        <v>09</v>
      </c>
      <c r="N415" s="41" t="str">
        <f>VLOOKUP(Table1[[#This Row],[Tegevusala kood]],Table4[[Tegevusala kood]:[Tegevusala alanimetus]],2,FALSE)</f>
        <v>Vinni Lasteaed</v>
      </c>
      <c r="Q415" s="41" t="str">
        <f>VLOOKUP(Table1[[#This Row],[Eelarvekonto]],Table5[[Konto]:[Kontode alanimetus]],5,FALSE)</f>
        <v>Tööjõukulud</v>
      </c>
      <c r="R415" s="42" t="str">
        <f>VLOOKUP(Table1[[#This Row],[Tegevusala kood]],Table4[[Tegevusala kood]:[Tegevusala alanimetus]],4,FALSE)</f>
        <v>Alusharidus</v>
      </c>
      <c r="S415" s="53"/>
      <c r="T415" s="53"/>
      <c r="U415" s="53">
        <f>Table1[[#This Row],[Summa]]+Table1[[#This Row],[I Muudatus]]+Table1[[#This Row],[II Muudatus]]</f>
        <v>50544</v>
      </c>
    </row>
    <row r="416" spans="1:21" ht="14.25" hidden="1" customHeight="1" x14ac:dyDescent="0.25">
      <c r="A416" s="41" t="s">
        <v>301</v>
      </c>
      <c r="B416" s="41">
        <v>15780</v>
      </c>
      <c r="C416" s="52">
        <v>5002</v>
      </c>
      <c r="D416" s="41" t="str">
        <f>LEFT(Table1[[#This Row],[Eelarvekonto]],2)</f>
        <v>50</v>
      </c>
      <c r="E416" s="41" t="str">
        <f>VLOOKUP(Table1[[#This Row],[Eelarvekonto]],Table5[[Konto]:[Konto nimetus]],2,FALSE)</f>
        <v>Töötajate töötasud</v>
      </c>
      <c r="F416" s="41" t="s">
        <v>139</v>
      </c>
      <c r="G416" s="41" t="s">
        <v>24</v>
      </c>
      <c r="J416" s="41" t="s">
        <v>306</v>
      </c>
      <c r="K416" s="41" t="s">
        <v>304</v>
      </c>
      <c r="L416" s="58" t="s">
        <v>305</v>
      </c>
      <c r="M416" s="58" t="str">
        <f>LEFT(Table1[[#This Row],[Tegevusala kood]],2)</f>
        <v>09</v>
      </c>
      <c r="N416" s="41" t="str">
        <f>VLOOKUP(Table1[[#This Row],[Tegevusala kood]],Table4[[Tegevusala kood]:[Tegevusala alanimetus]],2,FALSE)</f>
        <v>Vinni Lasteaed</v>
      </c>
      <c r="O416" s="41" t="s">
        <v>1</v>
      </c>
      <c r="P416" s="41" t="s">
        <v>1</v>
      </c>
      <c r="Q416" s="41" t="str">
        <f>VLOOKUP(Table1[[#This Row],[Eelarvekonto]],Table5[[Konto]:[Kontode alanimetus]],5,FALSE)</f>
        <v>Tööjõukulud</v>
      </c>
      <c r="R416" s="42" t="str">
        <f>VLOOKUP(Table1[[#This Row],[Tegevusala kood]],Table4[[Tegevusala kood]:[Tegevusala alanimetus]],4,FALSE)</f>
        <v>Alusharidus</v>
      </c>
      <c r="S416" s="53"/>
      <c r="T416" s="53"/>
      <c r="U416" s="53">
        <f>Table1[[#This Row],[Summa]]+Table1[[#This Row],[I Muudatus]]+Table1[[#This Row],[II Muudatus]]</f>
        <v>15780</v>
      </c>
    </row>
    <row r="417" spans="1:21" ht="14.25" hidden="1" customHeight="1" x14ac:dyDescent="0.25">
      <c r="A417" s="41" t="s">
        <v>470</v>
      </c>
      <c r="B417" s="41">
        <v>9240</v>
      </c>
      <c r="C417" s="52">
        <v>5002</v>
      </c>
      <c r="D417" s="52" t="str">
        <f>LEFT(Table1[[#This Row],[Eelarvekonto]],2)</f>
        <v>50</v>
      </c>
      <c r="E417" s="41" t="str">
        <f>VLOOKUP(Table1[[#This Row],[Eelarvekonto]],Table5[[Konto]:[Konto nimetus]],2,FALSE)</f>
        <v>Töötajate töötasud</v>
      </c>
      <c r="F417" s="41" t="s">
        <v>139</v>
      </c>
      <c r="G417" s="41" t="s">
        <v>24</v>
      </c>
      <c r="J417" s="41" t="s">
        <v>252</v>
      </c>
      <c r="K417" s="41" t="s">
        <v>251</v>
      </c>
      <c r="L417" s="58" t="s">
        <v>250</v>
      </c>
      <c r="M417" s="58" t="str">
        <f>LEFT(Table1[[#This Row],[Tegevusala kood]],2)</f>
        <v>09</v>
      </c>
      <c r="N417" s="41" t="str">
        <f>VLOOKUP(Table1[[#This Row],[Tegevusala kood]],Table4[[Tegevusala kood]:[Tegevusala alanimetus]],2,FALSE)</f>
        <v>Vinni-Pajusti Gümnaasium</v>
      </c>
      <c r="O417" s="41" t="s">
        <v>1</v>
      </c>
      <c r="P417" s="41" t="s">
        <v>1</v>
      </c>
      <c r="Q417" s="41" t="str">
        <f>VLOOKUP(Table1[[#This Row],[Eelarvekonto]],Table5[[Konto]:[Kontode alanimetus]],5,FALSE)</f>
        <v>Tööjõukulud</v>
      </c>
      <c r="R417" s="42" t="str">
        <f>VLOOKUP(Table1[[#This Row],[Tegevusala kood]],Table4[[Tegevusala kood]:[Tegevusala alanimetus]],4,FALSE)</f>
        <v>Põhihariduse otsekulud</v>
      </c>
      <c r="S417" s="53"/>
      <c r="T417" s="53"/>
      <c r="U417" s="53">
        <f>Table1[[#This Row],[Summa]]+Table1[[#This Row],[I Muudatus]]+Table1[[#This Row],[II Muudatus]]</f>
        <v>9240</v>
      </c>
    </row>
    <row r="418" spans="1:21" ht="14.25" hidden="1" customHeight="1" x14ac:dyDescent="0.25">
      <c r="A418" s="41" t="s">
        <v>561</v>
      </c>
      <c r="B418" s="41">
        <v>101664</v>
      </c>
      <c r="C418" s="52">
        <v>5002</v>
      </c>
      <c r="D418" s="52" t="str">
        <f>LEFT(Table1[[#This Row],[Eelarvekonto]],2)</f>
        <v>50</v>
      </c>
      <c r="E418" s="41" t="str">
        <f>VLOOKUP(Table1[[#This Row],[Eelarvekonto]],Table5[[Konto]:[Konto nimetus]],2,FALSE)</f>
        <v>Töötajate töötasud</v>
      </c>
      <c r="F418" s="41" t="s">
        <v>139</v>
      </c>
      <c r="G418" s="41" t="s">
        <v>24</v>
      </c>
      <c r="J418" s="41" t="s">
        <v>306</v>
      </c>
      <c r="K418" s="41" t="s">
        <v>304</v>
      </c>
      <c r="L418" s="58" t="s">
        <v>305</v>
      </c>
      <c r="M418" s="58" t="str">
        <f>LEFT(Table1[[#This Row],[Tegevusala kood]],2)</f>
        <v>09</v>
      </c>
      <c r="N418" s="41" t="str">
        <f>VLOOKUP(Table1[[#This Row],[Tegevusala kood]],Table4[[Tegevusala kood]:[Tegevusala alanimetus]],2,FALSE)</f>
        <v>Vinni Lasteaed</v>
      </c>
      <c r="O418" s="41" t="s">
        <v>1</v>
      </c>
      <c r="P418" s="41" t="s">
        <v>1</v>
      </c>
      <c r="Q418" s="41" t="str">
        <f>VLOOKUP(Table1[[#This Row],[Eelarvekonto]],Table5[[Konto]:[Kontode alanimetus]],5,FALSE)</f>
        <v>Tööjõukulud</v>
      </c>
      <c r="R418" s="42" t="str">
        <f>VLOOKUP(Table1[[#This Row],[Tegevusala kood]],Table4[[Tegevusala kood]:[Tegevusala alanimetus]],4,FALSE)</f>
        <v>Alusharidus</v>
      </c>
      <c r="S418" s="53"/>
      <c r="T418" s="53"/>
      <c r="U418" s="53">
        <f>Table1[[#This Row],[Summa]]+Table1[[#This Row],[I Muudatus]]+Table1[[#This Row],[II Muudatus]]</f>
        <v>101664</v>
      </c>
    </row>
    <row r="419" spans="1:21" ht="14.25" hidden="1" customHeight="1" x14ac:dyDescent="0.25">
      <c r="A419" s="41" t="s">
        <v>513</v>
      </c>
      <c r="B419" s="41">
        <v>11280</v>
      </c>
      <c r="C419" s="52">
        <v>5002</v>
      </c>
      <c r="D419" s="68" t="str">
        <f>LEFT(Table1[[#This Row],[Eelarvekonto]],2)</f>
        <v>50</v>
      </c>
      <c r="E419" s="41" t="str">
        <f>VLOOKUP(Table1[[#This Row],[Eelarvekonto]],Table5[[Konto]:[Konto nimetus]],2,FALSE)</f>
        <v>Töötajate töötasud</v>
      </c>
      <c r="F419" s="41" t="s">
        <v>139</v>
      </c>
      <c r="G419" s="41" t="s">
        <v>24</v>
      </c>
      <c r="J419" s="41" t="s">
        <v>252</v>
      </c>
      <c r="K419" s="41" t="s">
        <v>251</v>
      </c>
      <c r="L419" s="58" t="s">
        <v>250</v>
      </c>
      <c r="M419" s="58" t="str">
        <f>LEFT(Table1[[#This Row],[Tegevusala kood]],2)</f>
        <v>09</v>
      </c>
      <c r="N419" s="41" t="str">
        <f>VLOOKUP(Table1[[#This Row],[Tegevusala kood]],Table4[[Tegevusala kood]:[Tegevusala alanimetus]],2,FALSE)</f>
        <v>Vinni-Pajusti Gümnaasium</v>
      </c>
      <c r="O419" s="41" t="s">
        <v>1</v>
      </c>
      <c r="P419" s="41" t="s">
        <v>1</v>
      </c>
      <c r="Q419" s="41" t="str">
        <f>VLOOKUP(Table1[[#This Row],[Eelarvekonto]],Table5[[Konto]:[Kontode alanimetus]],5,FALSE)</f>
        <v>Tööjõukulud</v>
      </c>
      <c r="R419" s="42" t="str">
        <f>VLOOKUP(Table1[[#This Row],[Tegevusala kood]],Table4[[Tegevusala kood]:[Tegevusala alanimetus]],4,FALSE)</f>
        <v>Põhihariduse otsekulud</v>
      </c>
      <c r="S419" s="53"/>
      <c r="T419" s="53"/>
      <c r="U419" s="53">
        <f>Table1[[#This Row],[Summa]]+Table1[[#This Row],[I Muudatus]]+Table1[[#This Row],[II Muudatus]]</f>
        <v>11280</v>
      </c>
    </row>
    <row r="420" spans="1:21" ht="14.25" hidden="1" customHeight="1" x14ac:dyDescent="0.25">
      <c r="A420" s="41" t="s">
        <v>560</v>
      </c>
      <c r="B420" s="41">
        <v>76260</v>
      </c>
      <c r="C420" s="52">
        <v>5002</v>
      </c>
      <c r="D420" s="52" t="str">
        <f>LEFT(Table1[[#This Row],[Eelarvekonto]],2)</f>
        <v>50</v>
      </c>
      <c r="E420" s="41" t="str">
        <f>VLOOKUP(Table1[[#This Row],[Eelarvekonto]],Table5[[Konto]:[Konto nimetus]],2,FALSE)</f>
        <v>Töötajate töötasud</v>
      </c>
      <c r="F420" s="41" t="s">
        <v>139</v>
      </c>
      <c r="G420" s="41" t="s">
        <v>24</v>
      </c>
      <c r="J420" s="41" t="s">
        <v>306</v>
      </c>
      <c r="K420" s="41" t="s">
        <v>304</v>
      </c>
      <c r="L420" s="58" t="s">
        <v>305</v>
      </c>
      <c r="M420" s="58" t="str">
        <f>LEFT(Table1[[#This Row],[Tegevusala kood]],2)</f>
        <v>09</v>
      </c>
      <c r="N420" s="41" t="str">
        <f>VLOOKUP(Table1[[#This Row],[Tegevusala kood]],Table4[[Tegevusala kood]:[Tegevusala alanimetus]],2,FALSE)</f>
        <v>Vinni Lasteaed</v>
      </c>
      <c r="O420" s="41" t="s">
        <v>1</v>
      </c>
      <c r="P420" s="41" t="s">
        <v>1</v>
      </c>
      <c r="Q420" s="41" t="str">
        <f>VLOOKUP(Table1[[#This Row],[Eelarvekonto]],Table5[[Konto]:[Kontode alanimetus]],5,FALSE)</f>
        <v>Tööjõukulud</v>
      </c>
      <c r="R420" s="42" t="str">
        <f>VLOOKUP(Table1[[#This Row],[Tegevusala kood]],Table4[[Tegevusala kood]:[Tegevusala alanimetus]],4,FALSE)</f>
        <v>Alusharidus</v>
      </c>
      <c r="S420" s="53"/>
      <c r="T420" s="53"/>
      <c r="U420" s="53">
        <f>Table1[[#This Row],[Summa]]+Table1[[#This Row],[I Muudatus]]+Table1[[#This Row],[II Muudatus]]</f>
        <v>76260</v>
      </c>
    </row>
    <row r="421" spans="1:21" ht="14.25" hidden="1" customHeight="1" x14ac:dyDescent="0.25">
      <c r="A421" s="41" t="s">
        <v>559</v>
      </c>
      <c r="B421" s="41">
        <v>15252</v>
      </c>
      <c r="C421" s="52">
        <v>5002</v>
      </c>
      <c r="D421" s="52" t="str">
        <f>LEFT(Table1[[#This Row],[Eelarvekonto]],2)</f>
        <v>50</v>
      </c>
      <c r="E421" s="41" t="str">
        <f>VLOOKUP(Table1[[#This Row],[Eelarvekonto]],Table5[[Konto]:[Konto nimetus]],2,FALSE)</f>
        <v>Töötajate töötasud</v>
      </c>
      <c r="F421" s="41" t="s">
        <v>139</v>
      </c>
      <c r="G421" s="41" t="s">
        <v>24</v>
      </c>
      <c r="J421" s="41" t="s">
        <v>306</v>
      </c>
      <c r="K421" s="41" t="s">
        <v>304</v>
      </c>
      <c r="L421" s="58" t="s">
        <v>305</v>
      </c>
      <c r="M421" s="58" t="str">
        <f>LEFT(Table1[[#This Row],[Tegevusala kood]],2)</f>
        <v>09</v>
      </c>
      <c r="N421" s="41" t="str">
        <f>VLOOKUP(Table1[[#This Row],[Tegevusala kood]],Table4[[Tegevusala kood]:[Tegevusala alanimetus]],2,FALSE)</f>
        <v>Vinni Lasteaed</v>
      </c>
      <c r="O421" s="41" t="s">
        <v>1</v>
      </c>
      <c r="P421" s="41" t="s">
        <v>1</v>
      </c>
      <c r="Q421" s="41" t="str">
        <f>VLOOKUP(Table1[[#This Row],[Eelarvekonto]],Table5[[Konto]:[Kontode alanimetus]],5,FALSE)</f>
        <v>Tööjõukulud</v>
      </c>
      <c r="R421" s="42" t="str">
        <f>VLOOKUP(Table1[[#This Row],[Tegevusala kood]],Table4[[Tegevusala kood]:[Tegevusala alanimetus]],4,FALSE)</f>
        <v>Alusharidus</v>
      </c>
      <c r="S421" s="53"/>
      <c r="T421" s="53"/>
      <c r="U421" s="53">
        <f>Table1[[#This Row],[Summa]]+Table1[[#This Row],[I Muudatus]]+Table1[[#This Row],[II Muudatus]]</f>
        <v>15252</v>
      </c>
    </row>
    <row r="422" spans="1:21" ht="14.25" hidden="1" customHeight="1" x14ac:dyDescent="0.25">
      <c r="A422" s="41" t="s">
        <v>544</v>
      </c>
      <c r="B422" s="41">
        <v>11439</v>
      </c>
      <c r="C422" s="52">
        <v>5002</v>
      </c>
      <c r="D422" s="52" t="str">
        <f>LEFT(Table1[[#This Row],[Eelarvekonto]],2)</f>
        <v>50</v>
      </c>
      <c r="E422" s="41" t="str">
        <f>VLOOKUP(Table1[[#This Row],[Eelarvekonto]],Table5[[Konto]:[Konto nimetus]],2,FALSE)</f>
        <v>Töötajate töötasud</v>
      </c>
      <c r="F422" s="41" t="s">
        <v>139</v>
      </c>
      <c r="G422" s="41" t="s">
        <v>24</v>
      </c>
      <c r="J422" s="41" t="s">
        <v>306</v>
      </c>
      <c r="K422" s="41" t="s">
        <v>304</v>
      </c>
      <c r="L422" s="58" t="s">
        <v>305</v>
      </c>
      <c r="M422" s="58" t="str">
        <f>LEFT(Table1[[#This Row],[Tegevusala kood]],2)</f>
        <v>09</v>
      </c>
      <c r="N422" s="41" t="str">
        <f>VLOOKUP(Table1[[#This Row],[Tegevusala kood]],Table4[[Tegevusala kood]:[Tegevusala alanimetus]],2,FALSE)</f>
        <v>Vinni Lasteaed</v>
      </c>
      <c r="O422" s="41" t="s">
        <v>1</v>
      </c>
      <c r="P422" s="41" t="s">
        <v>1</v>
      </c>
      <c r="Q422" s="41" t="str">
        <f>VLOOKUP(Table1[[#This Row],[Eelarvekonto]],Table5[[Konto]:[Kontode alanimetus]],5,FALSE)</f>
        <v>Tööjõukulud</v>
      </c>
      <c r="R422" s="42" t="str">
        <f>VLOOKUP(Table1[[#This Row],[Tegevusala kood]],Table4[[Tegevusala kood]:[Tegevusala alanimetus]],4,FALSE)</f>
        <v>Alusharidus</v>
      </c>
      <c r="S422" s="53"/>
      <c r="T422" s="53"/>
      <c r="U422" s="53">
        <f>Table1[[#This Row],[Summa]]+Table1[[#This Row],[I Muudatus]]+Table1[[#This Row],[II Muudatus]]</f>
        <v>11439</v>
      </c>
    </row>
    <row r="423" spans="1:21" ht="14.25" hidden="1" customHeight="1" x14ac:dyDescent="0.25">
      <c r="A423" s="41" t="s">
        <v>494</v>
      </c>
      <c r="B423" s="41">
        <v>20400</v>
      </c>
      <c r="C423" s="52">
        <v>5002</v>
      </c>
      <c r="D423" s="52" t="str">
        <f>LEFT(Table1[[#This Row],[Eelarvekonto]],2)</f>
        <v>50</v>
      </c>
      <c r="E423" s="41" t="str">
        <f>VLOOKUP(Table1[[#This Row],[Eelarvekonto]],Table5[[Konto]:[Konto nimetus]],2,FALSE)</f>
        <v>Töötajate töötasud</v>
      </c>
      <c r="F423" s="41" t="s">
        <v>139</v>
      </c>
      <c r="G423" s="41" t="s">
        <v>24</v>
      </c>
      <c r="J423" s="41" t="s">
        <v>306</v>
      </c>
      <c r="K423" s="41" t="s">
        <v>304</v>
      </c>
      <c r="L423" s="58" t="s">
        <v>305</v>
      </c>
      <c r="M423" s="58" t="str">
        <f>LEFT(Table1[[#This Row],[Tegevusala kood]],2)</f>
        <v>09</v>
      </c>
      <c r="N423" s="41" t="str">
        <f>VLOOKUP(Table1[[#This Row],[Tegevusala kood]],Table4[[Tegevusala kood]:[Tegevusala alanimetus]],2,FALSE)</f>
        <v>Vinni Lasteaed</v>
      </c>
      <c r="O423" s="41" t="s">
        <v>1</v>
      </c>
      <c r="P423" s="41" t="s">
        <v>1</v>
      </c>
      <c r="Q423" s="41" t="str">
        <f>VLOOKUP(Table1[[#This Row],[Eelarvekonto]],Table5[[Konto]:[Kontode alanimetus]],5,FALSE)</f>
        <v>Tööjõukulud</v>
      </c>
      <c r="R423" s="42" t="str">
        <f>VLOOKUP(Table1[[#This Row],[Tegevusala kood]],Table4[[Tegevusala kood]:[Tegevusala alanimetus]],4,FALSE)</f>
        <v>Alusharidus</v>
      </c>
      <c r="S423" s="53"/>
      <c r="T423" s="53"/>
      <c r="U423" s="53">
        <f>Table1[[#This Row],[Summa]]+Table1[[#This Row],[I Muudatus]]+Table1[[#This Row],[II Muudatus]]</f>
        <v>20400</v>
      </c>
    </row>
    <row r="424" spans="1:21" ht="14.25" hidden="1" customHeight="1" x14ac:dyDescent="0.25">
      <c r="A424" s="41" t="s">
        <v>469</v>
      </c>
      <c r="B424" s="41">
        <v>7848</v>
      </c>
      <c r="C424" s="52">
        <v>5002</v>
      </c>
      <c r="D424" s="52" t="str">
        <f>LEFT(Table1[[#This Row],[Eelarvekonto]],2)</f>
        <v>50</v>
      </c>
      <c r="E424" s="41" t="str">
        <f>VLOOKUP(Table1[[#This Row],[Eelarvekonto]],Table5[[Konto]:[Konto nimetus]],2,FALSE)</f>
        <v>Töötajate töötasud</v>
      </c>
      <c r="F424" s="41" t="s">
        <v>139</v>
      </c>
      <c r="G424" s="41" t="s">
        <v>24</v>
      </c>
      <c r="J424" s="41" t="s">
        <v>306</v>
      </c>
      <c r="K424" s="41" t="s">
        <v>304</v>
      </c>
      <c r="L424" s="58" t="s">
        <v>305</v>
      </c>
      <c r="M424" s="58" t="str">
        <f>LEFT(Table1[[#This Row],[Tegevusala kood]],2)</f>
        <v>09</v>
      </c>
      <c r="N424" s="41" t="str">
        <f>VLOOKUP(Table1[[#This Row],[Tegevusala kood]],Table4[[Tegevusala kood]:[Tegevusala alanimetus]],2,FALSE)</f>
        <v>Vinni Lasteaed</v>
      </c>
      <c r="O424" s="41" t="s">
        <v>1</v>
      </c>
      <c r="P424" s="41" t="s">
        <v>1</v>
      </c>
      <c r="Q424" s="41" t="str">
        <f>VLOOKUP(Table1[[#This Row],[Eelarvekonto]],Table5[[Konto]:[Kontode alanimetus]],5,FALSE)</f>
        <v>Tööjõukulud</v>
      </c>
      <c r="R424" s="42" t="str">
        <f>VLOOKUP(Table1[[#This Row],[Tegevusala kood]],Table4[[Tegevusala kood]:[Tegevusala alanimetus]],4,FALSE)</f>
        <v>Alusharidus</v>
      </c>
      <c r="S424" s="53"/>
      <c r="T424" s="53"/>
      <c r="U424" s="53">
        <f>Table1[[#This Row],[Summa]]+Table1[[#This Row],[I Muudatus]]+Table1[[#This Row],[II Muudatus]]</f>
        <v>7848</v>
      </c>
    </row>
    <row r="425" spans="1:21" ht="14.25" hidden="1" customHeight="1" x14ac:dyDescent="0.25">
      <c r="A425" s="41" t="s">
        <v>545</v>
      </c>
      <c r="B425" s="41">
        <v>11439</v>
      </c>
      <c r="C425" s="52">
        <v>5002</v>
      </c>
      <c r="D425" s="52" t="str">
        <f>LEFT(Table1[[#This Row],[Eelarvekonto]],2)</f>
        <v>50</v>
      </c>
      <c r="E425" s="41" t="str">
        <f>VLOOKUP(Table1[[#This Row],[Eelarvekonto]],Table5[[Konto]:[Konto nimetus]],2,FALSE)</f>
        <v>Töötajate töötasud</v>
      </c>
      <c r="F425" s="41" t="s">
        <v>139</v>
      </c>
      <c r="G425" s="41" t="s">
        <v>24</v>
      </c>
      <c r="J425" s="41" t="s">
        <v>306</v>
      </c>
      <c r="K425" s="41" t="s">
        <v>304</v>
      </c>
      <c r="L425" s="58" t="s">
        <v>305</v>
      </c>
      <c r="M425" s="58" t="str">
        <f>LEFT(Table1[[#This Row],[Tegevusala kood]],2)</f>
        <v>09</v>
      </c>
      <c r="N425" s="41" t="str">
        <f>VLOOKUP(Table1[[#This Row],[Tegevusala kood]],Table4[[Tegevusala kood]:[Tegevusala alanimetus]],2,FALSE)</f>
        <v>Vinni Lasteaed</v>
      </c>
      <c r="O425" s="41" t="s">
        <v>1</v>
      </c>
      <c r="P425" s="41" t="s">
        <v>1</v>
      </c>
      <c r="Q425" s="41" t="str">
        <f>VLOOKUP(Table1[[#This Row],[Eelarvekonto]],Table5[[Konto]:[Kontode alanimetus]],5,FALSE)</f>
        <v>Tööjõukulud</v>
      </c>
      <c r="R425" s="42" t="str">
        <f>VLOOKUP(Table1[[#This Row],[Tegevusala kood]],Table4[[Tegevusala kood]:[Tegevusala alanimetus]],4,FALSE)</f>
        <v>Alusharidus</v>
      </c>
      <c r="S425" s="53"/>
      <c r="T425" s="53"/>
      <c r="U425" s="53">
        <f>Table1[[#This Row],[Summa]]+Table1[[#This Row],[I Muudatus]]+Table1[[#This Row],[II Muudatus]]</f>
        <v>11439</v>
      </c>
    </row>
    <row r="426" spans="1:21" ht="14.25" hidden="1" customHeight="1" x14ac:dyDescent="0.25">
      <c r="A426" s="41" t="s">
        <v>461</v>
      </c>
      <c r="B426" s="41">
        <v>8424</v>
      </c>
      <c r="C426" s="52">
        <v>5002</v>
      </c>
      <c r="D426" s="52" t="str">
        <f>LEFT(Table1[[#This Row],[Eelarvekonto]],2)</f>
        <v>50</v>
      </c>
      <c r="E426" s="41" t="str">
        <f>VLOOKUP(Table1[[#This Row],[Eelarvekonto]],Table5[[Konto]:[Konto nimetus]],2,FALSE)</f>
        <v>Töötajate töötasud</v>
      </c>
      <c r="F426" s="41" t="s">
        <v>139</v>
      </c>
      <c r="G426" s="41" t="s">
        <v>24</v>
      </c>
      <c r="J426" s="41" t="s">
        <v>306</v>
      </c>
      <c r="K426" s="41" t="s">
        <v>304</v>
      </c>
      <c r="L426" s="58" t="s">
        <v>305</v>
      </c>
      <c r="M426" s="58" t="str">
        <f>LEFT(Table1[[#This Row],[Tegevusala kood]],2)</f>
        <v>09</v>
      </c>
      <c r="N426" s="41" t="str">
        <f>VLOOKUP(Table1[[#This Row],[Tegevusala kood]],Table4[[Tegevusala kood]:[Tegevusala alanimetus]],2,FALSE)</f>
        <v>Vinni Lasteaed</v>
      </c>
      <c r="O426" s="41" t="s">
        <v>1</v>
      </c>
      <c r="P426" s="41" t="s">
        <v>1</v>
      </c>
      <c r="Q426" s="41" t="str">
        <f>VLOOKUP(Table1[[#This Row],[Eelarvekonto]],Table5[[Konto]:[Kontode alanimetus]],5,FALSE)</f>
        <v>Tööjõukulud</v>
      </c>
      <c r="R426" s="42" t="str">
        <f>VLOOKUP(Table1[[#This Row],[Tegevusala kood]],Table4[[Tegevusala kood]:[Tegevusala alanimetus]],4,FALSE)</f>
        <v>Alusharidus</v>
      </c>
      <c r="S426" s="53"/>
      <c r="T426" s="53"/>
      <c r="U426" s="53">
        <f>Table1[[#This Row],[Summa]]+Table1[[#This Row],[I Muudatus]]+Table1[[#This Row],[II Muudatus]]</f>
        <v>8424</v>
      </c>
    </row>
    <row r="427" spans="1:21" ht="14.25" hidden="1" customHeight="1" x14ac:dyDescent="0.25">
      <c r="A427" s="41" t="s">
        <v>526</v>
      </c>
      <c r="B427" s="41">
        <v>7848</v>
      </c>
      <c r="C427" s="52">
        <v>5002</v>
      </c>
      <c r="D427" s="52" t="str">
        <f>LEFT(Table1[[#This Row],[Eelarvekonto]],2)</f>
        <v>50</v>
      </c>
      <c r="E427" s="41" t="str">
        <f>VLOOKUP(Table1[[#This Row],[Eelarvekonto]],Table5[[Konto]:[Konto nimetus]],2,FALSE)</f>
        <v>Töötajate töötasud</v>
      </c>
      <c r="F427" s="41" t="s">
        <v>139</v>
      </c>
      <c r="G427" s="41" t="s">
        <v>24</v>
      </c>
      <c r="J427" s="41" t="s">
        <v>306</v>
      </c>
      <c r="K427" s="41" t="s">
        <v>304</v>
      </c>
      <c r="L427" s="58" t="s">
        <v>305</v>
      </c>
      <c r="M427" s="58" t="str">
        <f>LEFT(Table1[[#This Row],[Tegevusala kood]],2)</f>
        <v>09</v>
      </c>
      <c r="N427" s="41" t="str">
        <f>VLOOKUP(Table1[[#This Row],[Tegevusala kood]],Table4[[Tegevusala kood]:[Tegevusala alanimetus]],2,FALSE)</f>
        <v>Vinni Lasteaed</v>
      </c>
      <c r="O427" s="41" t="s">
        <v>1</v>
      </c>
      <c r="P427" s="41" t="s">
        <v>1</v>
      </c>
      <c r="Q427" s="41" t="str">
        <f>VLOOKUP(Table1[[#This Row],[Eelarvekonto]],Table5[[Konto]:[Kontode alanimetus]],5,FALSE)</f>
        <v>Tööjõukulud</v>
      </c>
      <c r="R427" s="42" t="str">
        <f>VLOOKUP(Table1[[#This Row],[Tegevusala kood]],Table4[[Tegevusala kood]:[Tegevusala alanimetus]],4,FALSE)</f>
        <v>Alusharidus</v>
      </c>
      <c r="S427" s="53"/>
      <c r="T427" s="53"/>
      <c r="U427" s="53">
        <f>Table1[[#This Row],[Summa]]+Table1[[#This Row],[I Muudatus]]+Table1[[#This Row],[II Muudatus]]</f>
        <v>7848</v>
      </c>
    </row>
    <row r="428" spans="1:21" ht="14.25" hidden="1" customHeight="1" x14ac:dyDescent="0.25">
      <c r="A428" s="41" t="s">
        <v>1015</v>
      </c>
      <c r="B428" s="41">
        <v>25555.53</v>
      </c>
      <c r="C428" s="52">
        <v>5521</v>
      </c>
      <c r="D428" s="52" t="str">
        <f>LEFT(Table1[[#This Row],[Eelarvekonto]],2)</f>
        <v>55</v>
      </c>
      <c r="E428" s="41" t="str">
        <f>VLOOKUP(Table1[[#This Row],[Eelarvekonto]],Table5[[Konto]:[Konto nimetus]],2,FALSE)</f>
        <v>Toiduained ja toitlustusteenused</v>
      </c>
      <c r="F428" s="41" t="s">
        <v>139</v>
      </c>
      <c r="G428" s="41" t="s">
        <v>24</v>
      </c>
      <c r="J428" s="41" t="s">
        <v>306</v>
      </c>
      <c r="K428" s="41" t="s">
        <v>304</v>
      </c>
      <c r="L428" s="58" t="s">
        <v>305</v>
      </c>
      <c r="M428" s="58" t="str">
        <f>LEFT(Table1[[#This Row],[Tegevusala kood]],2)</f>
        <v>09</v>
      </c>
      <c r="N428" s="41" t="str">
        <f>VLOOKUP(Table1[[#This Row],[Tegevusala kood]],Table4[[Tegevusala kood]:[Tegevusala alanimetus]],2,FALSE)</f>
        <v>Vinni Lasteaed</v>
      </c>
      <c r="O428" s="41" t="s">
        <v>1</v>
      </c>
      <c r="P428" s="41" t="s">
        <v>1</v>
      </c>
      <c r="Q428" s="41" t="str">
        <f>VLOOKUP(Table1[[#This Row],[Eelarvekonto]],Table5[[Konto]:[Kontode alanimetus]],5,FALSE)</f>
        <v>Majandamiskulud</v>
      </c>
      <c r="R428" s="42" t="str">
        <f>VLOOKUP(Table1[[#This Row],[Tegevusala kood]],Table4[[Tegevusala kood]:[Tegevusala alanimetus]],4,FALSE)</f>
        <v>Alusharidus</v>
      </c>
      <c r="S428" s="53"/>
      <c r="T428" s="53"/>
      <c r="U428" s="53">
        <f>Table1[[#This Row],[Summa]]+Table1[[#This Row],[I Muudatus]]+Table1[[#This Row],[II Muudatus]]</f>
        <v>25555.53</v>
      </c>
    </row>
    <row r="429" spans="1:21" ht="14.25" hidden="1" customHeight="1" x14ac:dyDescent="0.25">
      <c r="A429" s="41" t="s">
        <v>308</v>
      </c>
      <c r="B429" s="41">
        <v>360</v>
      </c>
      <c r="C429" s="52">
        <v>5514</v>
      </c>
      <c r="D429" s="52" t="str">
        <f>LEFT(Table1[[#This Row],[Eelarvekonto]],2)</f>
        <v>55</v>
      </c>
      <c r="E429" s="41" t="str">
        <f>VLOOKUP(Table1[[#This Row],[Eelarvekonto]],Table5[[Konto]:[Konto nimetus]],2,FALSE)</f>
        <v>Info- ja kommunikatsioonitehnoloogia kulud</v>
      </c>
      <c r="F429" s="41" t="s">
        <v>139</v>
      </c>
      <c r="G429" s="41" t="s">
        <v>24</v>
      </c>
      <c r="J429" s="41" t="s">
        <v>306</v>
      </c>
      <c r="K429" s="41" t="s">
        <v>304</v>
      </c>
      <c r="L429" s="58" t="s">
        <v>305</v>
      </c>
      <c r="M429" s="58" t="str">
        <f>LEFT(Table1[[#This Row],[Tegevusala kood]],2)</f>
        <v>09</v>
      </c>
      <c r="N429" s="41" t="str">
        <f>VLOOKUP(Table1[[#This Row],[Tegevusala kood]],Table4[[Tegevusala kood]:[Tegevusala alanimetus]],2,FALSE)</f>
        <v>Vinni Lasteaed</v>
      </c>
      <c r="O429" s="41" t="s">
        <v>1</v>
      </c>
      <c r="P429" s="41" t="s">
        <v>1</v>
      </c>
      <c r="Q429" s="41" t="str">
        <f>VLOOKUP(Table1[[#This Row],[Eelarvekonto]],Table5[[Konto]:[Kontode alanimetus]],5,FALSE)</f>
        <v>Majandamiskulud</v>
      </c>
      <c r="R429" s="42" t="str">
        <f>VLOOKUP(Table1[[#This Row],[Tegevusala kood]],Table4[[Tegevusala kood]:[Tegevusala alanimetus]],4,FALSE)</f>
        <v>Alusharidus</v>
      </c>
      <c r="S429" s="53"/>
      <c r="T429" s="53"/>
      <c r="U429" s="53">
        <f>Table1[[#This Row],[Summa]]+Table1[[#This Row],[I Muudatus]]+Table1[[#This Row],[II Muudatus]]</f>
        <v>360</v>
      </c>
    </row>
    <row r="430" spans="1:21" ht="14.25" hidden="1" customHeight="1" x14ac:dyDescent="0.25">
      <c r="A430" s="41" t="s">
        <v>149</v>
      </c>
      <c r="B430" s="41">
        <v>6540</v>
      </c>
      <c r="C430" s="52">
        <v>551101</v>
      </c>
      <c r="D430" s="52" t="str">
        <f>LEFT(Table1[[#This Row],[Eelarvekonto]],2)</f>
        <v>55</v>
      </c>
      <c r="E430" s="41" t="str">
        <f>VLOOKUP(Table1[[#This Row],[Eelarvekonto]],Table5[[Konto]:[Konto nimetus]],2,FALSE)</f>
        <v>Elekter</v>
      </c>
      <c r="F430" s="41" t="s">
        <v>139</v>
      </c>
      <c r="G430" s="41" t="s">
        <v>24</v>
      </c>
      <c r="J430" s="41" t="s">
        <v>306</v>
      </c>
      <c r="K430" s="41" t="s">
        <v>304</v>
      </c>
      <c r="L430" s="58" t="s">
        <v>305</v>
      </c>
      <c r="M430" s="58" t="str">
        <f>LEFT(Table1[[#This Row],[Tegevusala kood]],2)</f>
        <v>09</v>
      </c>
      <c r="N430" s="41" t="str">
        <f>VLOOKUP(Table1[[#This Row],[Tegevusala kood]],Table4[[Tegevusala kood]:[Tegevusala alanimetus]],2,FALSE)</f>
        <v>Vinni Lasteaed</v>
      </c>
      <c r="O430" s="41" t="s">
        <v>1</v>
      </c>
      <c r="P430" s="41" t="s">
        <v>1</v>
      </c>
      <c r="Q430" s="41" t="str">
        <f>VLOOKUP(Table1[[#This Row],[Eelarvekonto]],Table5[[Konto]:[Kontode alanimetus]],5,FALSE)</f>
        <v>Majandamiskulud</v>
      </c>
      <c r="R430" s="42" t="str">
        <f>VLOOKUP(Table1[[#This Row],[Tegevusala kood]],Table4[[Tegevusala kood]:[Tegevusala alanimetus]],4,FALSE)</f>
        <v>Alusharidus</v>
      </c>
      <c r="S430" s="53"/>
      <c r="T430" s="53"/>
      <c r="U430" s="53">
        <f>Table1[[#This Row],[Summa]]+Table1[[#This Row],[I Muudatus]]+Table1[[#This Row],[II Muudatus]]</f>
        <v>6540</v>
      </c>
    </row>
    <row r="431" spans="1:21" ht="14.25" hidden="1" customHeight="1" x14ac:dyDescent="0.25">
      <c r="A431" s="41" t="s">
        <v>150</v>
      </c>
      <c r="B431" s="41">
        <v>2940</v>
      </c>
      <c r="C431" s="52">
        <v>551102</v>
      </c>
      <c r="D431" s="52" t="str">
        <f>LEFT(Table1[[#This Row],[Eelarvekonto]],2)</f>
        <v>55</v>
      </c>
      <c r="E431" s="41" t="str">
        <f>VLOOKUP(Table1[[#This Row],[Eelarvekonto]],Table5[[Konto]:[Konto nimetus]],2,FALSE)</f>
        <v>Vesi ja kanalisatsioon</v>
      </c>
      <c r="F431" s="41" t="s">
        <v>139</v>
      </c>
      <c r="G431" s="41" t="s">
        <v>24</v>
      </c>
      <c r="J431" s="41" t="s">
        <v>306</v>
      </c>
      <c r="K431" s="41" t="s">
        <v>304</v>
      </c>
      <c r="L431" s="58" t="s">
        <v>305</v>
      </c>
      <c r="M431" s="58" t="str">
        <f>LEFT(Table1[[#This Row],[Tegevusala kood]],2)</f>
        <v>09</v>
      </c>
      <c r="N431" s="41" t="str">
        <f>VLOOKUP(Table1[[#This Row],[Tegevusala kood]],Table4[[Tegevusala kood]:[Tegevusala alanimetus]],2,FALSE)</f>
        <v>Vinni Lasteaed</v>
      </c>
      <c r="O431" s="41" t="s">
        <v>1</v>
      </c>
      <c r="P431" s="41" t="s">
        <v>1</v>
      </c>
      <c r="Q431" s="41" t="str">
        <f>VLOOKUP(Table1[[#This Row],[Eelarvekonto]],Table5[[Konto]:[Kontode alanimetus]],5,FALSE)</f>
        <v>Majandamiskulud</v>
      </c>
      <c r="R431" s="42" t="str">
        <f>VLOOKUP(Table1[[#This Row],[Tegevusala kood]],Table4[[Tegevusala kood]:[Tegevusala alanimetus]],4,FALSE)</f>
        <v>Alusharidus</v>
      </c>
      <c r="S431" s="53"/>
      <c r="T431" s="53"/>
      <c r="U431" s="53">
        <f>Table1[[#This Row],[Summa]]+Table1[[#This Row],[I Muudatus]]+Table1[[#This Row],[II Muudatus]]</f>
        <v>2940</v>
      </c>
    </row>
    <row r="432" spans="1:21" ht="14.25" hidden="1" customHeight="1" x14ac:dyDescent="0.25">
      <c r="A432" s="41" t="s">
        <v>307</v>
      </c>
      <c r="B432" s="41">
        <v>574.79999999999995</v>
      </c>
      <c r="C432" s="52">
        <v>5514</v>
      </c>
      <c r="D432" s="52" t="str">
        <f>LEFT(Table1[[#This Row],[Eelarvekonto]],2)</f>
        <v>55</v>
      </c>
      <c r="E432" s="41" t="str">
        <f>VLOOKUP(Table1[[#This Row],[Eelarvekonto]],Table5[[Konto]:[Konto nimetus]],2,FALSE)</f>
        <v>Info- ja kommunikatsioonitehnoloogia kulud</v>
      </c>
      <c r="F432" s="41" t="s">
        <v>139</v>
      </c>
      <c r="G432" s="41" t="s">
        <v>24</v>
      </c>
      <c r="J432" s="41" t="s">
        <v>306</v>
      </c>
      <c r="K432" s="41" t="s">
        <v>304</v>
      </c>
      <c r="L432" s="58" t="s">
        <v>305</v>
      </c>
      <c r="M432" s="58" t="str">
        <f>LEFT(Table1[[#This Row],[Tegevusala kood]],2)</f>
        <v>09</v>
      </c>
      <c r="N432" s="41" t="str">
        <f>VLOOKUP(Table1[[#This Row],[Tegevusala kood]],Table4[[Tegevusala kood]:[Tegevusala alanimetus]],2,FALSE)</f>
        <v>Vinni Lasteaed</v>
      </c>
      <c r="O432" s="41" t="s">
        <v>1</v>
      </c>
      <c r="P432" s="41" t="s">
        <v>1</v>
      </c>
      <c r="Q432" s="41" t="str">
        <f>VLOOKUP(Table1[[#This Row],[Eelarvekonto]],Table5[[Konto]:[Kontode alanimetus]],5,FALSE)</f>
        <v>Majandamiskulud</v>
      </c>
      <c r="R432" s="42" t="str">
        <f>VLOOKUP(Table1[[#This Row],[Tegevusala kood]],Table4[[Tegevusala kood]:[Tegevusala alanimetus]],4,FALSE)</f>
        <v>Alusharidus</v>
      </c>
      <c r="S432" s="53"/>
      <c r="T432" s="53"/>
      <c r="U432" s="53">
        <f>Table1[[#This Row],[Summa]]+Table1[[#This Row],[I Muudatus]]+Table1[[#This Row],[II Muudatus]]</f>
        <v>574.79999999999995</v>
      </c>
    </row>
    <row r="433" spans="1:21" ht="14.25" hidden="1" customHeight="1" x14ac:dyDescent="0.25">
      <c r="A433" s="41" t="s">
        <v>484</v>
      </c>
      <c r="B433" s="64">
        <v>200.4</v>
      </c>
      <c r="C433" s="52">
        <v>5511</v>
      </c>
      <c r="D433" s="52" t="str">
        <f>LEFT(Table1[[#This Row],[Eelarvekonto]],2)</f>
        <v>55</v>
      </c>
      <c r="E433" s="41" t="str">
        <f>VLOOKUP(Table1[[#This Row],[Eelarvekonto]],Table5[[Konto]:[Konto nimetus]],2,FALSE)</f>
        <v>Kinnistute, hoonete ja ruumide majandamiskulud</v>
      </c>
      <c r="F433" s="41" t="s">
        <v>139</v>
      </c>
      <c r="G433" s="41" t="s">
        <v>24</v>
      </c>
      <c r="J433" s="41" t="s">
        <v>306</v>
      </c>
      <c r="K433" s="41" t="s">
        <v>304</v>
      </c>
      <c r="L433" s="58" t="s">
        <v>305</v>
      </c>
      <c r="M433" s="58" t="str">
        <f>LEFT(Table1[[#This Row],[Tegevusala kood]],2)</f>
        <v>09</v>
      </c>
      <c r="N433" s="41" t="str">
        <f>VLOOKUP(Table1[[#This Row],[Tegevusala kood]],Table4[[Tegevusala kood]:[Tegevusala alanimetus]],2,FALSE)</f>
        <v>Vinni Lasteaed</v>
      </c>
      <c r="Q433" s="41" t="str">
        <f>VLOOKUP(Table1[[#This Row],[Eelarvekonto]],Table5[[Konto]:[Kontode alanimetus]],5,FALSE)</f>
        <v>Majandamiskulud</v>
      </c>
      <c r="R433" s="42" t="str">
        <f>VLOOKUP(Table1[[#This Row],[Tegevusala kood]],Table4[[Tegevusala kood]:[Tegevusala alanimetus]],4,FALSE)</f>
        <v>Alusharidus</v>
      </c>
      <c r="S433" s="53"/>
      <c r="T433" s="53"/>
      <c r="U433" s="53">
        <f>Table1[[#This Row],[Summa]]+Table1[[#This Row],[I Muudatus]]+Table1[[#This Row],[II Muudatus]]</f>
        <v>200.4</v>
      </c>
    </row>
    <row r="434" spans="1:21" ht="14.25" hidden="1" customHeight="1" x14ac:dyDescent="0.25">
      <c r="A434" s="41" t="s">
        <v>450</v>
      </c>
      <c r="B434" s="41">
        <v>216</v>
      </c>
      <c r="C434" s="52">
        <v>5524</v>
      </c>
      <c r="D434" s="52" t="str">
        <f>LEFT(Table1[[#This Row],[Eelarvekonto]],2)</f>
        <v>55</v>
      </c>
      <c r="E434" s="41" t="str">
        <f>VLOOKUP(Table1[[#This Row],[Eelarvekonto]],Table5[[Konto]:[Konto nimetus]],2,FALSE)</f>
        <v>Õppevahendite ja koolituse kulud</v>
      </c>
      <c r="F434" s="41" t="s">
        <v>139</v>
      </c>
      <c r="G434" s="41" t="s">
        <v>24</v>
      </c>
      <c r="J434" s="41" t="s">
        <v>306</v>
      </c>
      <c r="K434" s="41" t="s">
        <v>304</v>
      </c>
      <c r="L434" s="58" t="s">
        <v>305</v>
      </c>
      <c r="M434" s="58" t="str">
        <f>LEFT(Table1[[#This Row],[Tegevusala kood]],2)</f>
        <v>09</v>
      </c>
      <c r="N434" s="41" t="str">
        <f>VLOOKUP(Table1[[#This Row],[Tegevusala kood]],Table4[[Tegevusala kood]:[Tegevusala alanimetus]],2,FALSE)</f>
        <v>Vinni Lasteaed</v>
      </c>
      <c r="O434" s="41" t="s">
        <v>1</v>
      </c>
      <c r="P434" s="41" t="s">
        <v>1</v>
      </c>
      <c r="Q434" s="41" t="str">
        <f>VLOOKUP(Table1[[#This Row],[Eelarvekonto]],Table5[[Konto]:[Kontode alanimetus]],5,FALSE)</f>
        <v>Majandamiskulud</v>
      </c>
      <c r="R434" s="42" t="str">
        <f>VLOOKUP(Table1[[#This Row],[Tegevusala kood]],Table4[[Tegevusala kood]:[Tegevusala alanimetus]],4,FALSE)</f>
        <v>Alusharidus</v>
      </c>
      <c r="S434" s="53"/>
      <c r="T434" s="53"/>
      <c r="U434" s="53">
        <f>Table1[[#This Row],[Summa]]+Table1[[#This Row],[I Muudatus]]+Table1[[#This Row],[II Muudatus]]</f>
        <v>216</v>
      </c>
    </row>
    <row r="435" spans="1:21" ht="14.25" hidden="1" customHeight="1" x14ac:dyDescent="0.25">
      <c r="A435" s="41" t="s">
        <v>172</v>
      </c>
      <c r="B435" s="41">
        <v>146.04</v>
      </c>
      <c r="C435" s="52">
        <v>5511</v>
      </c>
      <c r="D435" s="52" t="str">
        <f>LEFT(Table1[[#This Row],[Eelarvekonto]],2)</f>
        <v>55</v>
      </c>
      <c r="E435" s="41" t="str">
        <f>VLOOKUP(Table1[[#This Row],[Eelarvekonto]],Table5[[Konto]:[Konto nimetus]],2,FALSE)</f>
        <v>Kinnistute, hoonete ja ruumide majandamiskulud</v>
      </c>
      <c r="F435" s="41" t="s">
        <v>139</v>
      </c>
      <c r="G435" s="41" t="s">
        <v>24</v>
      </c>
      <c r="J435" s="41" t="s">
        <v>306</v>
      </c>
      <c r="K435" s="41" t="s">
        <v>304</v>
      </c>
      <c r="L435" s="58" t="s">
        <v>305</v>
      </c>
      <c r="M435" s="58" t="str">
        <f>LEFT(Table1[[#This Row],[Tegevusala kood]],2)</f>
        <v>09</v>
      </c>
      <c r="N435" s="41" t="str">
        <f>VLOOKUP(Table1[[#This Row],[Tegevusala kood]],Table4[[Tegevusala kood]:[Tegevusala alanimetus]],2,FALSE)</f>
        <v>Vinni Lasteaed</v>
      </c>
      <c r="O435" s="41" t="s">
        <v>1</v>
      </c>
      <c r="P435" s="41" t="s">
        <v>1</v>
      </c>
      <c r="Q435" s="41" t="str">
        <f>VLOOKUP(Table1[[#This Row],[Eelarvekonto]],Table5[[Konto]:[Kontode alanimetus]],5,FALSE)</f>
        <v>Majandamiskulud</v>
      </c>
      <c r="R435" s="42" t="str">
        <f>VLOOKUP(Table1[[#This Row],[Tegevusala kood]],Table4[[Tegevusala kood]:[Tegevusala alanimetus]],4,FALSE)</f>
        <v>Alusharidus</v>
      </c>
      <c r="S435" s="53"/>
      <c r="T435" s="53"/>
      <c r="U435" s="53">
        <f>Table1[[#This Row],[Summa]]+Table1[[#This Row],[I Muudatus]]+Table1[[#This Row],[II Muudatus]]</f>
        <v>146.04</v>
      </c>
    </row>
    <row r="436" spans="1:21" ht="14.25" hidden="1" customHeight="1" x14ac:dyDescent="0.25">
      <c r="A436" s="41" t="s">
        <v>171</v>
      </c>
      <c r="B436" s="41">
        <v>156</v>
      </c>
      <c r="C436" s="52">
        <v>5511</v>
      </c>
      <c r="D436" s="52" t="str">
        <f>LEFT(Table1[[#This Row],[Eelarvekonto]],2)</f>
        <v>55</v>
      </c>
      <c r="E436" s="41" t="str">
        <f>VLOOKUP(Table1[[#This Row],[Eelarvekonto]],Table5[[Konto]:[Konto nimetus]],2,FALSE)</f>
        <v>Kinnistute, hoonete ja ruumide majandamiskulud</v>
      </c>
      <c r="F436" s="41" t="s">
        <v>139</v>
      </c>
      <c r="G436" s="41" t="s">
        <v>24</v>
      </c>
      <c r="J436" s="41" t="s">
        <v>306</v>
      </c>
      <c r="K436" s="41" t="s">
        <v>304</v>
      </c>
      <c r="L436" s="58" t="s">
        <v>305</v>
      </c>
      <c r="M436" s="58" t="str">
        <f>LEFT(Table1[[#This Row],[Tegevusala kood]],2)</f>
        <v>09</v>
      </c>
      <c r="N436" s="41" t="str">
        <f>VLOOKUP(Table1[[#This Row],[Tegevusala kood]],Table4[[Tegevusala kood]:[Tegevusala alanimetus]],2,FALSE)</f>
        <v>Vinni Lasteaed</v>
      </c>
      <c r="O436" s="41" t="s">
        <v>1</v>
      </c>
      <c r="P436" s="41" t="s">
        <v>1</v>
      </c>
      <c r="Q436" s="41" t="str">
        <f>VLOOKUP(Table1[[#This Row],[Eelarvekonto]],Table5[[Konto]:[Kontode alanimetus]],5,FALSE)</f>
        <v>Majandamiskulud</v>
      </c>
      <c r="R436" s="42" t="str">
        <f>VLOOKUP(Table1[[#This Row],[Tegevusala kood]],Table4[[Tegevusala kood]:[Tegevusala alanimetus]],4,FALSE)</f>
        <v>Alusharidus</v>
      </c>
      <c r="S436" s="53"/>
      <c r="T436" s="53"/>
      <c r="U436" s="53">
        <f>Table1[[#This Row],[Summa]]+Table1[[#This Row],[I Muudatus]]+Table1[[#This Row],[II Muudatus]]</f>
        <v>156</v>
      </c>
    </row>
    <row r="437" spans="1:21" ht="14.25" hidden="1" customHeight="1" x14ac:dyDescent="0.25">
      <c r="A437" s="42" t="s">
        <v>486</v>
      </c>
      <c r="B437" s="66">
        <v>460.16</v>
      </c>
      <c r="C437" s="53">
        <v>5511</v>
      </c>
      <c r="D437" s="42" t="str">
        <f>LEFT(Table1[[#This Row],[Eelarvekonto]],2)</f>
        <v>55</v>
      </c>
      <c r="E437" s="41" t="str">
        <f>VLOOKUP(Table1[[#This Row],[Eelarvekonto]],Table5[[Konto]:[Konto nimetus]],2,FALSE)</f>
        <v>Kinnistute, hoonete ja ruumide majandamiskulud</v>
      </c>
      <c r="F437" s="41" t="s">
        <v>139</v>
      </c>
      <c r="G437" s="41" t="s">
        <v>24</v>
      </c>
      <c r="H437" s="42"/>
      <c r="I437" s="42"/>
      <c r="J437" s="42" t="s">
        <v>306</v>
      </c>
      <c r="K437" s="42" t="s">
        <v>304</v>
      </c>
      <c r="L437" s="62" t="s">
        <v>305</v>
      </c>
      <c r="M437" s="62" t="str">
        <f>LEFT(Table1[[#This Row],[Tegevusala kood]],2)</f>
        <v>09</v>
      </c>
      <c r="N437" s="53" t="str">
        <f>VLOOKUP(Table1[[#This Row],[Tegevusala kood]],Table4[[Tegevusala kood]:[Tegevusala alanimetus]],2,FALSE)</f>
        <v>Vinni Lasteaed</v>
      </c>
      <c r="O437" s="42"/>
      <c r="P437" s="42"/>
      <c r="Q437" s="53" t="str">
        <f>VLOOKUP(Table1[[#This Row],[Eelarvekonto]],Table5[[Konto]:[Kontode alanimetus]],5,FALSE)</f>
        <v>Majandamiskulud</v>
      </c>
      <c r="R437" s="53" t="str">
        <f>VLOOKUP(Table1[[#This Row],[Tegevusala kood]],Table4[[Tegevusala kood]:[Tegevusala alanimetus]],4,FALSE)</f>
        <v>Alusharidus</v>
      </c>
      <c r="S437" s="53"/>
      <c r="T437" s="53"/>
      <c r="U437" s="53">
        <f>Table1[[#This Row],[Summa]]+Table1[[#This Row],[I Muudatus]]+Table1[[#This Row],[II Muudatus]]</f>
        <v>460.16</v>
      </c>
    </row>
    <row r="438" spans="1:21" ht="14.25" hidden="1" customHeight="1" x14ac:dyDescent="0.25">
      <c r="A438" s="41" t="s">
        <v>148</v>
      </c>
      <c r="B438" s="41">
        <v>18540</v>
      </c>
      <c r="C438" s="52">
        <v>551100</v>
      </c>
      <c r="D438" s="52" t="str">
        <f>LEFT(Table1[[#This Row],[Eelarvekonto]],2)</f>
        <v>55</v>
      </c>
      <c r="E438" s="41" t="str">
        <f>VLOOKUP(Table1[[#This Row],[Eelarvekonto]],Table5[[Konto]:[Konto nimetus]],2,FALSE)</f>
        <v>Küte ja soojusenergia</v>
      </c>
      <c r="F438" s="41" t="s">
        <v>139</v>
      </c>
      <c r="G438" s="41" t="s">
        <v>24</v>
      </c>
      <c r="J438" s="41" t="s">
        <v>306</v>
      </c>
      <c r="K438" s="41" t="s">
        <v>304</v>
      </c>
      <c r="L438" s="58" t="s">
        <v>305</v>
      </c>
      <c r="M438" s="58" t="str">
        <f>LEFT(Table1[[#This Row],[Tegevusala kood]],2)</f>
        <v>09</v>
      </c>
      <c r="N438" s="41" t="str">
        <f>VLOOKUP(Table1[[#This Row],[Tegevusala kood]],Table4[[Tegevusala kood]:[Tegevusala alanimetus]],2,FALSE)</f>
        <v>Vinni Lasteaed</v>
      </c>
      <c r="O438" s="41" t="s">
        <v>1</v>
      </c>
      <c r="P438" s="41" t="s">
        <v>1</v>
      </c>
      <c r="Q438" s="41" t="str">
        <f>VLOOKUP(Table1[[#This Row],[Eelarvekonto]],Table5[[Konto]:[Kontode alanimetus]],5,FALSE)</f>
        <v>Majandamiskulud</v>
      </c>
      <c r="R438" s="42" t="str">
        <f>VLOOKUP(Table1[[#This Row],[Tegevusala kood]],Table4[[Tegevusala kood]:[Tegevusala alanimetus]],4,FALSE)</f>
        <v>Alusharidus</v>
      </c>
      <c r="S438" s="53"/>
      <c r="T438" s="53"/>
      <c r="U438" s="53">
        <f>Table1[[#This Row],[Summa]]+Table1[[#This Row],[I Muudatus]]+Table1[[#This Row],[II Muudatus]]</f>
        <v>18540</v>
      </c>
    </row>
    <row r="439" spans="1:21" ht="14.25" hidden="1" customHeight="1" x14ac:dyDescent="0.25">
      <c r="A439" s="41" t="s">
        <v>287</v>
      </c>
      <c r="B439" s="41">
        <v>1000</v>
      </c>
      <c r="C439" s="52">
        <v>5511</v>
      </c>
      <c r="D439" s="52" t="str">
        <f>LEFT(Table1[[#This Row],[Eelarvekonto]],2)</f>
        <v>55</v>
      </c>
      <c r="E439" s="41" t="str">
        <f>VLOOKUP(Table1[[#This Row],[Eelarvekonto]],Table5[[Konto]:[Konto nimetus]],2,FALSE)</f>
        <v>Kinnistute, hoonete ja ruumide majandamiskulud</v>
      </c>
      <c r="F439" s="41" t="s">
        <v>139</v>
      </c>
      <c r="G439" s="41" t="s">
        <v>24</v>
      </c>
      <c r="J439" s="41" t="s">
        <v>306</v>
      </c>
      <c r="K439" s="41" t="s">
        <v>304</v>
      </c>
      <c r="L439" s="58" t="s">
        <v>305</v>
      </c>
      <c r="M439" s="58" t="str">
        <f>LEFT(Table1[[#This Row],[Tegevusala kood]],2)</f>
        <v>09</v>
      </c>
      <c r="N439" s="41" t="str">
        <f>VLOOKUP(Table1[[#This Row],[Tegevusala kood]],Table4[[Tegevusala kood]:[Tegevusala alanimetus]],2,FALSE)</f>
        <v>Vinni Lasteaed</v>
      </c>
      <c r="O439" s="41" t="s">
        <v>1</v>
      </c>
      <c r="P439" s="41" t="s">
        <v>1</v>
      </c>
      <c r="Q439" s="41" t="str">
        <f>VLOOKUP(Table1[[#This Row],[Eelarvekonto]],Table5[[Konto]:[Kontode alanimetus]],5,FALSE)</f>
        <v>Majandamiskulud</v>
      </c>
      <c r="R439" s="42" t="str">
        <f>VLOOKUP(Table1[[#This Row],[Tegevusala kood]],Table4[[Tegevusala kood]:[Tegevusala alanimetus]],4,FALSE)</f>
        <v>Alusharidus</v>
      </c>
      <c r="S439" s="53"/>
      <c r="T439" s="53"/>
      <c r="U439" s="53">
        <f>Table1[[#This Row],[Summa]]+Table1[[#This Row],[I Muudatus]]+Table1[[#This Row],[II Muudatus]]</f>
        <v>1000</v>
      </c>
    </row>
    <row r="440" spans="1:21" ht="14.25" hidden="1" customHeight="1" x14ac:dyDescent="0.25">
      <c r="A440" s="41" t="s">
        <v>485</v>
      </c>
      <c r="B440" s="41">
        <v>604.79999999999995</v>
      </c>
      <c r="C440" s="52">
        <v>5511</v>
      </c>
      <c r="D440" s="52" t="str">
        <f>LEFT(Table1[[#This Row],[Eelarvekonto]],2)</f>
        <v>55</v>
      </c>
      <c r="E440" s="41" t="str">
        <f>VLOOKUP(Table1[[#This Row],[Eelarvekonto]],Table5[[Konto]:[Konto nimetus]],2,FALSE)</f>
        <v>Kinnistute, hoonete ja ruumide majandamiskulud</v>
      </c>
      <c r="F440" s="41" t="s">
        <v>139</v>
      </c>
      <c r="G440" s="41" t="s">
        <v>24</v>
      </c>
      <c r="J440" s="41" t="s">
        <v>306</v>
      </c>
      <c r="K440" s="41" t="s">
        <v>304</v>
      </c>
      <c r="L440" s="58" t="s">
        <v>305</v>
      </c>
      <c r="M440" s="58" t="str">
        <f>LEFT(Table1[[#This Row],[Tegevusala kood]],2)</f>
        <v>09</v>
      </c>
      <c r="N440" s="41" t="str">
        <f>VLOOKUP(Table1[[#This Row],[Tegevusala kood]],Table4[[Tegevusala kood]:[Tegevusala alanimetus]],2,FALSE)</f>
        <v>Vinni Lasteaed</v>
      </c>
      <c r="O440" s="41" t="s">
        <v>1</v>
      </c>
      <c r="P440" s="41" t="s">
        <v>1</v>
      </c>
      <c r="Q440" s="41" t="str">
        <f>VLOOKUP(Table1[[#This Row],[Eelarvekonto]],Table5[[Konto]:[Kontode alanimetus]],5,FALSE)</f>
        <v>Majandamiskulud</v>
      </c>
      <c r="R440" s="42" t="str">
        <f>VLOOKUP(Table1[[#This Row],[Tegevusala kood]],Table4[[Tegevusala kood]:[Tegevusala alanimetus]],4,FALSE)</f>
        <v>Alusharidus</v>
      </c>
      <c r="S440" s="53"/>
      <c r="T440" s="53"/>
      <c r="U440" s="53">
        <f>Table1[[#This Row],[Summa]]+Table1[[#This Row],[I Muudatus]]+Table1[[#This Row],[II Muudatus]]</f>
        <v>604.79999999999995</v>
      </c>
    </row>
    <row r="441" spans="1:21" ht="14.25" hidden="1" customHeight="1" x14ac:dyDescent="0.25">
      <c r="A441" s="41" t="s">
        <v>177</v>
      </c>
      <c r="B441" s="41">
        <v>1500</v>
      </c>
      <c r="C441" s="52">
        <v>5511</v>
      </c>
      <c r="D441" s="52" t="str">
        <f>LEFT(Table1[[#This Row],[Eelarvekonto]],2)</f>
        <v>55</v>
      </c>
      <c r="E441" s="41" t="str">
        <f>VLOOKUP(Table1[[#This Row],[Eelarvekonto]],Table5[[Konto]:[Konto nimetus]],2,FALSE)</f>
        <v>Kinnistute, hoonete ja ruumide majandamiskulud</v>
      </c>
      <c r="F441" s="41" t="s">
        <v>139</v>
      </c>
      <c r="G441" s="41" t="s">
        <v>24</v>
      </c>
      <c r="J441" s="41" t="s">
        <v>306</v>
      </c>
      <c r="K441" s="41" t="s">
        <v>304</v>
      </c>
      <c r="L441" s="58" t="s">
        <v>305</v>
      </c>
      <c r="M441" s="58" t="str">
        <f>LEFT(Table1[[#This Row],[Tegevusala kood]],2)</f>
        <v>09</v>
      </c>
      <c r="N441" s="41" t="str">
        <f>VLOOKUP(Table1[[#This Row],[Tegevusala kood]],Table4[[Tegevusala kood]:[Tegevusala alanimetus]],2,FALSE)</f>
        <v>Vinni Lasteaed</v>
      </c>
      <c r="O441" s="41" t="s">
        <v>1</v>
      </c>
      <c r="P441" s="41" t="s">
        <v>1</v>
      </c>
      <c r="Q441" s="41" t="str">
        <f>VLOOKUP(Table1[[#This Row],[Eelarvekonto]],Table5[[Konto]:[Kontode alanimetus]],5,FALSE)</f>
        <v>Majandamiskulud</v>
      </c>
      <c r="R441" s="42" t="str">
        <f>VLOOKUP(Table1[[#This Row],[Tegevusala kood]],Table4[[Tegevusala kood]:[Tegevusala alanimetus]],4,FALSE)</f>
        <v>Alusharidus</v>
      </c>
      <c r="S441" s="53"/>
      <c r="T441" s="53"/>
      <c r="U441" s="53">
        <f>Table1[[#This Row],[Summa]]+Table1[[#This Row],[I Muudatus]]+Table1[[#This Row],[II Muudatus]]</f>
        <v>1500</v>
      </c>
    </row>
    <row r="442" spans="1:21" ht="14.25" hidden="1" customHeight="1" x14ac:dyDescent="0.25">
      <c r="A442" s="41" t="s">
        <v>558</v>
      </c>
      <c r="B442" s="41">
        <v>500</v>
      </c>
      <c r="C442" s="52">
        <v>5511</v>
      </c>
      <c r="D442" s="52" t="str">
        <f>LEFT(Table1[[#This Row],[Eelarvekonto]],2)</f>
        <v>55</v>
      </c>
      <c r="E442" s="41" t="str">
        <f>VLOOKUP(Table1[[#This Row],[Eelarvekonto]],Table5[[Konto]:[Konto nimetus]],2,FALSE)</f>
        <v>Kinnistute, hoonete ja ruumide majandamiskulud</v>
      </c>
      <c r="F442" s="41" t="s">
        <v>139</v>
      </c>
      <c r="G442" s="41" t="s">
        <v>24</v>
      </c>
      <c r="J442" s="41" t="s">
        <v>306</v>
      </c>
      <c r="K442" s="41" t="s">
        <v>304</v>
      </c>
      <c r="L442" s="58" t="s">
        <v>305</v>
      </c>
      <c r="M442" s="58" t="str">
        <f>LEFT(Table1[[#This Row],[Tegevusala kood]],2)</f>
        <v>09</v>
      </c>
      <c r="N442" s="41" t="str">
        <f>VLOOKUP(Table1[[#This Row],[Tegevusala kood]],Table4[[Tegevusala kood]:[Tegevusala alanimetus]],2,FALSE)</f>
        <v>Vinni Lasteaed</v>
      </c>
      <c r="O442" s="41" t="s">
        <v>1</v>
      </c>
      <c r="P442" s="41" t="s">
        <v>1</v>
      </c>
      <c r="Q442" s="41" t="str">
        <f>VLOOKUP(Table1[[#This Row],[Eelarvekonto]],Table5[[Konto]:[Kontode alanimetus]],5,FALSE)</f>
        <v>Majandamiskulud</v>
      </c>
      <c r="R442" s="42" t="str">
        <f>VLOOKUP(Table1[[#This Row],[Tegevusala kood]],Table4[[Tegevusala kood]:[Tegevusala alanimetus]],4,FALSE)</f>
        <v>Alusharidus</v>
      </c>
      <c r="S442" s="53"/>
      <c r="T442" s="53"/>
      <c r="U442" s="53">
        <f>Table1[[#This Row],[Summa]]+Table1[[#This Row],[I Muudatus]]+Table1[[#This Row],[II Muudatus]]</f>
        <v>500</v>
      </c>
    </row>
    <row r="443" spans="1:21" ht="14.25" hidden="1" customHeight="1" x14ac:dyDescent="0.25">
      <c r="A443" s="41" t="s">
        <v>216</v>
      </c>
      <c r="B443" s="41">
        <v>4000</v>
      </c>
      <c r="C443" s="52">
        <v>4500</v>
      </c>
      <c r="D443" s="52" t="str">
        <f>LEFT(Table1[[#This Row],[Eelarvekonto]],2)</f>
        <v>45</v>
      </c>
      <c r="E443" s="41" t="str">
        <f>VLOOKUP(Table1[[#This Row],[Eelarvekonto]],Table5[[Konto]:[Konto nimetus]],2,FALSE)</f>
        <v>Antud sihtfinantseerimine tegevuskuludeks</v>
      </c>
      <c r="F443" s="41" t="s">
        <v>139</v>
      </c>
      <c r="G443" s="41" t="s">
        <v>24</v>
      </c>
      <c r="J443" s="41" t="s">
        <v>416</v>
      </c>
      <c r="K443" s="41" t="s">
        <v>415</v>
      </c>
      <c r="L443" s="58" t="s">
        <v>710</v>
      </c>
      <c r="M443" s="58" t="str">
        <f>LEFT(Table1[[#This Row],[Tegevusala kood]],2)</f>
        <v>08</v>
      </c>
      <c r="N443" s="41" t="str">
        <f>VLOOKUP(Table1[[#This Row],[Tegevusala kood]],Table4[[Tegevusala kood]:[Tegevusala alanimetus]],2,FALSE)</f>
        <v>Projektide kaasfinantseerimine</v>
      </c>
      <c r="O443" s="41" t="s">
        <v>1</v>
      </c>
      <c r="P443" s="41" t="s">
        <v>1</v>
      </c>
      <c r="Q443" s="41" t="str">
        <f>VLOOKUP(Table1[[#This Row],[Eelarvekonto]],Table5[[Konto]:[Kontode alanimetus]],5,FALSE)</f>
        <v>Sihtotstarbelised toetused tegevuskuludeks</v>
      </c>
      <c r="R443" s="42" t="str">
        <f>VLOOKUP(Table1[[#This Row],[Tegevusala kood]],Table4[[Tegevusala kood]:[Tegevusala alanimetus]],4,FALSE)</f>
        <v>Noorsootöö ja noortekeskused</v>
      </c>
      <c r="S443" s="53"/>
      <c r="T443" s="53"/>
      <c r="U443" s="53">
        <f>Table1[[#This Row],[Summa]]+Table1[[#This Row],[I Muudatus]]+Table1[[#This Row],[II Muudatus]]</f>
        <v>4000</v>
      </c>
    </row>
    <row r="444" spans="1:21" ht="14.25" hidden="1" customHeight="1" x14ac:dyDescent="0.25">
      <c r="A444" s="41" t="s">
        <v>707</v>
      </c>
      <c r="B444" s="41">
        <v>2000</v>
      </c>
      <c r="C444" s="52">
        <v>5540</v>
      </c>
      <c r="D444" s="52" t="str">
        <f>LEFT(Table1[[#This Row],[Eelarvekonto]],2)</f>
        <v>55</v>
      </c>
      <c r="E444" s="41" t="str">
        <f>VLOOKUP(Table1[[#This Row],[Eelarvekonto]],Table5[[Konto]:[Konto nimetus]],2,FALSE)</f>
        <v>Mitmesugused majanduskulud</v>
      </c>
      <c r="F444" s="41" t="s">
        <v>139</v>
      </c>
      <c r="G444" s="41" t="s">
        <v>24</v>
      </c>
      <c r="J444" s="41" t="s">
        <v>416</v>
      </c>
      <c r="K444" s="41" t="s">
        <v>415</v>
      </c>
      <c r="L444" s="58" t="s">
        <v>706</v>
      </c>
      <c r="M444" s="58" t="str">
        <f>LEFT(Table1[[#This Row],[Tegevusala kood]],2)</f>
        <v>08</v>
      </c>
      <c r="N444" s="41" t="str">
        <f>VLOOKUP(Table1[[#This Row],[Tegevusala kood]],Table4[[Tegevusala kood]:[Tegevusala alanimetus]],2,FALSE)</f>
        <v>Noorsootöö koordineerimine</v>
      </c>
      <c r="O444" s="41" t="s">
        <v>1</v>
      </c>
      <c r="P444" s="41" t="s">
        <v>1</v>
      </c>
      <c r="Q444" s="41" t="str">
        <f>VLOOKUP(Table1[[#This Row],[Eelarvekonto]],Table5[[Konto]:[Kontode alanimetus]],5,FALSE)</f>
        <v>Majandamiskulud</v>
      </c>
      <c r="R444" s="42" t="str">
        <f>VLOOKUP(Table1[[#This Row],[Tegevusala kood]],Table4[[Tegevusala kood]:[Tegevusala alanimetus]],4,FALSE)</f>
        <v>Noorsootöö ja noortekeskused</v>
      </c>
      <c r="S444" s="53"/>
      <c r="T444" s="53"/>
      <c r="U444" s="53">
        <f>Table1[[#This Row],[Summa]]+Table1[[#This Row],[I Muudatus]]+Table1[[#This Row],[II Muudatus]]</f>
        <v>2000</v>
      </c>
    </row>
    <row r="445" spans="1:21" ht="14.25" hidden="1" customHeight="1" x14ac:dyDescent="0.25">
      <c r="A445" s="41" t="s">
        <v>158</v>
      </c>
      <c r="B445" s="41">
        <v>2103.73</v>
      </c>
      <c r="C445" s="52">
        <v>506</v>
      </c>
      <c r="D445" s="52" t="str">
        <f>LEFT(Table1[[#This Row],[Eelarvekonto]],2)</f>
        <v>50</v>
      </c>
      <c r="E445" s="41" t="str">
        <f>VLOOKUP(Table1[[#This Row],[Eelarvekonto]],Table5[[Konto]:[Konto nimetus]],2,FALSE)</f>
        <v>Tööjõukuludega kaasnevad maksud ja sotsiaalkindlustusmaksed</v>
      </c>
      <c r="F445" s="41" t="s">
        <v>139</v>
      </c>
      <c r="G445" s="41" t="s">
        <v>24</v>
      </c>
      <c r="J445" s="41" t="s">
        <v>416</v>
      </c>
      <c r="K445" s="41" t="s">
        <v>415</v>
      </c>
      <c r="L445" s="58" t="s">
        <v>706</v>
      </c>
      <c r="M445" s="58" t="str">
        <f>LEFT(Table1[[#This Row],[Tegevusala kood]],2)</f>
        <v>08</v>
      </c>
      <c r="N445" s="41" t="str">
        <f>VLOOKUP(Table1[[#This Row],[Tegevusala kood]],Table4[[Tegevusala kood]:[Tegevusala alanimetus]],2,FALSE)</f>
        <v>Noorsootöö koordineerimine</v>
      </c>
      <c r="O445" s="41" t="s">
        <v>1</v>
      </c>
      <c r="P445" s="41" t="s">
        <v>1</v>
      </c>
      <c r="Q445" s="41" t="str">
        <f>VLOOKUP(Table1[[#This Row],[Eelarvekonto]],Table5[[Konto]:[Kontode alanimetus]],5,FALSE)</f>
        <v>Tööjõukulud</v>
      </c>
      <c r="R445" s="42" t="str">
        <f>VLOOKUP(Table1[[#This Row],[Tegevusala kood]],Table4[[Tegevusala kood]:[Tegevusala alanimetus]],4,FALSE)</f>
        <v>Noorsootöö ja noortekeskused</v>
      </c>
      <c r="S445" s="53"/>
      <c r="T445" s="53"/>
      <c r="U445" s="53">
        <f>Table1[[#This Row],[Summa]]+Table1[[#This Row],[I Muudatus]]+Table1[[#This Row],[II Muudatus]]</f>
        <v>2103.73</v>
      </c>
    </row>
    <row r="446" spans="1:21" ht="14.25" hidden="1" customHeight="1" x14ac:dyDescent="0.25">
      <c r="A446" s="41" t="s">
        <v>154</v>
      </c>
      <c r="B446" s="41">
        <v>6224.04</v>
      </c>
      <c r="C446" s="52">
        <v>5002</v>
      </c>
      <c r="D446" s="52" t="str">
        <f>LEFT(Table1[[#This Row],[Eelarvekonto]],2)</f>
        <v>50</v>
      </c>
      <c r="E446" s="41" t="str">
        <f>VLOOKUP(Table1[[#This Row],[Eelarvekonto]],Table5[[Konto]:[Konto nimetus]],2,FALSE)</f>
        <v>Töötajate töötasud</v>
      </c>
      <c r="F446" s="41" t="s">
        <v>139</v>
      </c>
      <c r="G446" s="41" t="s">
        <v>24</v>
      </c>
      <c r="J446" s="41" t="s">
        <v>416</v>
      </c>
      <c r="K446" s="41" t="s">
        <v>415</v>
      </c>
      <c r="L446" s="58" t="s">
        <v>706</v>
      </c>
      <c r="M446" s="58" t="str">
        <f>LEFT(Table1[[#This Row],[Tegevusala kood]],2)</f>
        <v>08</v>
      </c>
      <c r="N446" s="41" t="str">
        <f>VLOOKUP(Table1[[#This Row],[Tegevusala kood]],Table4[[Tegevusala kood]:[Tegevusala alanimetus]],2,FALSE)</f>
        <v>Noorsootöö koordineerimine</v>
      </c>
      <c r="O446" s="41" t="s">
        <v>1</v>
      </c>
      <c r="P446" s="41" t="s">
        <v>1</v>
      </c>
      <c r="Q446" s="41" t="str">
        <f>VLOOKUP(Table1[[#This Row],[Eelarvekonto]],Table5[[Konto]:[Kontode alanimetus]],5,FALSE)</f>
        <v>Tööjõukulud</v>
      </c>
      <c r="R446" s="42" t="str">
        <f>VLOOKUP(Table1[[#This Row],[Tegevusala kood]],Table4[[Tegevusala kood]:[Tegevusala alanimetus]],4,FALSE)</f>
        <v>Noorsootöö ja noortekeskused</v>
      </c>
      <c r="S446" s="53"/>
      <c r="T446" s="53"/>
      <c r="U446" s="53">
        <f>Table1[[#This Row],[Summa]]+Table1[[#This Row],[I Muudatus]]+Table1[[#This Row],[II Muudatus]]</f>
        <v>6224.04</v>
      </c>
    </row>
    <row r="447" spans="1:21" ht="14.25" hidden="1" customHeight="1" x14ac:dyDescent="0.25">
      <c r="A447" s="41" t="s">
        <v>1076</v>
      </c>
      <c r="B447" s="41">
        <v>23350</v>
      </c>
      <c r="C447" s="52">
        <v>4500</v>
      </c>
      <c r="D447" s="52" t="str">
        <f>LEFT(Table1[[#This Row],[Eelarvekonto]],2)</f>
        <v>45</v>
      </c>
      <c r="E447" s="41" t="str">
        <f>VLOOKUP(Table1[[#This Row],[Eelarvekonto]],Table5[[Konto]:[Konto nimetus]],2,FALSE)</f>
        <v>Antud sihtfinantseerimine tegevuskuludeks</v>
      </c>
      <c r="F447" s="41" t="s">
        <v>139</v>
      </c>
      <c r="G447" s="41" t="s">
        <v>24</v>
      </c>
      <c r="J447" s="41" t="s">
        <v>212</v>
      </c>
      <c r="K447" s="41" t="s">
        <v>210</v>
      </c>
      <c r="L447" s="58" t="s">
        <v>215</v>
      </c>
      <c r="M447" s="58" t="str">
        <f>LEFT(Table1[[#This Row],[Tegevusala kood]],2)</f>
        <v>08</v>
      </c>
      <c r="N447" s="41" t="str">
        <f>VLOOKUP(Table1[[#This Row],[Tegevusala kood]],Table4[[Tegevusala kood]:[Tegevusala alanimetus]],2,FALSE)</f>
        <v>Toetused MTÜ-le</v>
      </c>
      <c r="O447" s="41" t="s">
        <v>1</v>
      </c>
      <c r="P447" s="41" t="s">
        <v>1</v>
      </c>
      <c r="Q447" s="41" t="str">
        <f>VLOOKUP(Table1[[#This Row],[Eelarvekonto]],Table5[[Konto]:[Kontode alanimetus]],5,FALSE)</f>
        <v>Sihtotstarbelised toetused tegevuskuludeks</v>
      </c>
      <c r="R447" s="42" t="str">
        <f>VLOOKUP(Table1[[#This Row],[Tegevusala kood]],Table4[[Tegevusala kood]:[Tegevusala alanimetus]],4,FALSE)</f>
        <v>Vaba aja üritused</v>
      </c>
      <c r="S447" s="53"/>
      <c r="T447" s="53"/>
      <c r="U447" s="53">
        <f>Table1[[#This Row],[Summa]]+Table1[[#This Row],[I Muudatus]]+Table1[[#This Row],[II Muudatus]]</f>
        <v>23350</v>
      </c>
    </row>
    <row r="448" spans="1:21" ht="14.25" hidden="1" customHeight="1" x14ac:dyDescent="0.25">
      <c r="A448" s="41" t="s">
        <v>674</v>
      </c>
      <c r="B448" s="41">
        <v>16000</v>
      </c>
      <c r="C448" s="52">
        <v>5500</v>
      </c>
      <c r="D448" s="52" t="str">
        <f>LEFT(Table1[[#This Row],[Eelarvekonto]],2)</f>
        <v>55</v>
      </c>
      <c r="E448" s="41" t="str">
        <f>VLOOKUP(Table1[[#This Row],[Eelarvekonto]],Table5[[Konto]:[Konto nimetus]],2,FALSE)</f>
        <v>Administreerimiskulud</v>
      </c>
      <c r="F448" s="41" t="s">
        <v>139</v>
      </c>
      <c r="G448" s="41" t="s">
        <v>24</v>
      </c>
      <c r="J448" s="41" t="s">
        <v>406</v>
      </c>
      <c r="K448" s="41" t="s">
        <v>405</v>
      </c>
      <c r="L448" s="58" t="s">
        <v>673</v>
      </c>
      <c r="M448" s="58" t="str">
        <f>LEFT(Table1[[#This Row],[Tegevusala kood]],2)</f>
        <v>08</v>
      </c>
      <c r="N448" s="41" t="str">
        <f>VLOOKUP(Table1[[#This Row],[Tegevusala kood]],Table4[[Tegevusala kood]:[Tegevusala alanimetus]],2,FALSE)</f>
        <v>Ringhäälingu- ja kirjastamisteenused</v>
      </c>
      <c r="O448" s="41" t="s">
        <v>1</v>
      </c>
      <c r="P448" s="41" t="s">
        <v>1</v>
      </c>
      <c r="Q448" s="41" t="str">
        <f>VLOOKUP(Table1[[#This Row],[Eelarvekonto]],Table5[[Konto]:[Kontode alanimetus]],5,FALSE)</f>
        <v>Majandamiskulud</v>
      </c>
      <c r="R448" s="42" t="str">
        <f>VLOOKUP(Table1[[#This Row],[Tegevusala kood]],Table4[[Tegevusala kood]:[Tegevusala alanimetus]],4,FALSE)</f>
        <v>Ringhäälingu- ja kirjastamisteenused</v>
      </c>
      <c r="S448" s="53"/>
      <c r="T448" s="53"/>
      <c r="U448" s="53">
        <f>Table1[[#This Row],[Summa]]+Table1[[#This Row],[I Muudatus]]+Table1[[#This Row],[II Muudatus]]</f>
        <v>16000</v>
      </c>
    </row>
    <row r="449" spans="1:21" ht="14.25" hidden="1" customHeight="1" x14ac:dyDescent="0.25">
      <c r="A449" s="41" t="s">
        <v>1077</v>
      </c>
      <c r="C449" s="52">
        <v>5540</v>
      </c>
      <c r="D449" s="52" t="str">
        <f>LEFT(Table1[[#This Row],[Eelarvekonto]],2)</f>
        <v>55</v>
      </c>
      <c r="E449" s="41" t="str">
        <f>VLOOKUP(Table1[[#This Row],[Eelarvekonto]],Table5[[Konto]:[Konto nimetus]],2,FALSE)</f>
        <v>Mitmesugused majanduskulud</v>
      </c>
      <c r="F449" s="41" t="s">
        <v>139</v>
      </c>
      <c r="G449" s="41" t="s">
        <v>24</v>
      </c>
      <c r="J449" s="41" t="s">
        <v>433</v>
      </c>
      <c r="K449" s="41" t="s">
        <v>432</v>
      </c>
      <c r="L449" s="58" t="s">
        <v>431</v>
      </c>
      <c r="M449" s="58" t="str">
        <f>LEFT(Table1[[#This Row],[Tegevusala kood]],2)</f>
        <v>08</v>
      </c>
      <c r="N449" s="41" t="str">
        <f>VLOOKUP(Table1[[#This Row],[Tegevusala kood]],Table4[[Tegevusala kood]:[Tegevusala alanimetus]],2,FALSE)</f>
        <v>Sporditegevuse haldus</v>
      </c>
      <c r="O449" s="41" t="s">
        <v>1</v>
      </c>
      <c r="P449" s="41" t="s">
        <v>1</v>
      </c>
      <c r="Q449" s="41" t="str">
        <f>VLOOKUP(Table1[[#This Row],[Eelarvekonto]],Table5[[Konto]:[Kontode alanimetus]],5,FALSE)</f>
        <v>Majandamiskulud</v>
      </c>
      <c r="R449" s="42" t="str">
        <f>VLOOKUP(Table1[[#This Row],[Tegevusala kood]],Table4[[Tegevusala kood]:[Tegevusala alanimetus]],4,FALSE)</f>
        <v>Sport</v>
      </c>
      <c r="S449" s="53"/>
      <c r="T449" s="53"/>
      <c r="U449" s="53">
        <f>Table1[[#This Row],[Summa]]+Table1[[#This Row],[I Muudatus]]+Table1[[#This Row],[II Muudatus]]</f>
        <v>0</v>
      </c>
    </row>
    <row r="450" spans="1:21" ht="14.25" hidden="1" customHeight="1" x14ac:dyDescent="0.25">
      <c r="A450" s="41" t="s">
        <v>1078</v>
      </c>
      <c r="C450" s="52">
        <v>551300</v>
      </c>
      <c r="D450" s="52" t="str">
        <f>LEFT(Table1[[#This Row],[Eelarvekonto]],2)</f>
        <v>55</v>
      </c>
      <c r="E450" s="41" t="str">
        <f>VLOOKUP(Table1[[#This Row],[Eelarvekonto]],Table5[[Konto]:[Konto nimetus]],2,FALSE)</f>
        <v>Kütus</v>
      </c>
      <c r="F450" s="41" t="s">
        <v>139</v>
      </c>
      <c r="G450" s="41" t="s">
        <v>24</v>
      </c>
      <c r="J450" s="41" t="s">
        <v>433</v>
      </c>
      <c r="K450" s="41" t="s">
        <v>432</v>
      </c>
      <c r="L450" s="58" t="s">
        <v>431</v>
      </c>
      <c r="M450" s="58" t="str">
        <f>LEFT(Table1[[#This Row],[Tegevusala kood]],2)</f>
        <v>08</v>
      </c>
      <c r="N450" s="41" t="str">
        <f>VLOOKUP(Table1[[#This Row],[Tegevusala kood]],Table4[[Tegevusala kood]:[Tegevusala alanimetus]],2,FALSE)</f>
        <v>Sporditegevuse haldus</v>
      </c>
      <c r="O450" s="41" t="s">
        <v>1</v>
      </c>
      <c r="P450" s="41" t="s">
        <v>1</v>
      </c>
      <c r="Q450" s="41" t="str">
        <f>VLOOKUP(Table1[[#This Row],[Eelarvekonto]],Table5[[Konto]:[Kontode alanimetus]],5,FALSE)</f>
        <v>Majandamiskulud</v>
      </c>
      <c r="R450" s="42" t="str">
        <f>VLOOKUP(Table1[[#This Row],[Tegevusala kood]],Table4[[Tegevusala kood]:[Tegevusala alanimetus]],4,FALSE)</f>
        <v>Sport</v>
      </c>
      <c r="S450" s="53"/>
      <c r="T450" s="53"/>
      <c r="U450" s="53">
        <f>Table1[[#This Row],[Summa]]+Table1[[#This Row],[I Muudatus]]+Table1[[#This Row],[II Muudatus]]</f>
        <v>0</v>
      </c>
    </row>
    <row r="451" spans="1:21" ht="14.25" hidden="1" customHeight="1" x14ac:dyDescent="0.25">
      <c r="A451" s="41" t="s">
        <v>197</v>
      </c>
      <c r="B451" s="41">
        <v>4020</v>
      </c>
      <c r="C451" s="52">
        <v>5513081</v>
      </c>
      <c r="D451" s="52" t="str">
        <f>LEFT(Table1[[#This Row],[Eelarvekonto]],2)</f>
        <v>55</v>
      </c>
      <c r="E451" s="41" t="str">
        <f>VLOOKUP(Table1[[#This Row],[Eelarvekonto]],Table5[[Konto]:[Konto nimetus]],2,FALSE)</f>
        <v>Isikliku sõiduauto kompensatsioon</v>
      </c>
      <c r="F451" s="41" t="s">
        <v>139</v>
      </c>
      <c r="G451" s="41" t="s">
        <v>24</v>
      </c>
      <c r="J451" s="41" t="s">
        <v>433</v>
      </c>
      <c r="K451" s="41" t="s">
        <v>432</v>
      </c>
      <c r="L451" s="58" t="s">
        <v>431</v>
      </c>
      <c r="M451" s="58" t="str">
        <f>LEFT(Table1[[#This Row],[Tegevusala kood]],2)</f>
        <v>08</v>
      </c>
      <c r="N451" s="41" t="str">
        <f>VLOOKUP(Table1[[#This Row],[Tegevusala kood]],Table4[[Tegevusala kood]:[Tegevusala alanimetus]],2,FALSE)</f>
        <v>Sporditegevuse haldus</v>
      </c>
      <c r="O451" s="41" t="s">
        <v>1</v>
      </c>
      <c r="P451" s="41" t="s">
        <v>1</v>
      </c>
      <c r="Q451" s="41" t="str">
        <f>VLOOKUP(Table1[[#This Row],[Eelarvekonto]],Table5[[Konto]:[Kontode alanimetus]],5,FALSE)</f>
        <v>Majandamiskulud</v>
      </c>
      <c r="R451" s="42" t="str">
        <f>VLOOKUP(Table1[[#This Row],[Tegevusala kood]],Table4[[Tegevusala kood]:[Tegevusala alanimetus]],4,FALSE)</f>
        <v>Sport</v>
      </c>
      <c r="S451" s="53"/>
      <c r="T451" s="53"/>
      <c r="U451" s="53">
        <f>Table1[[#This Row],[Summa]]+Table1[[#This Row],[I Muudatus]]+Table1[[#This Row],[II Muudatus]]</f>
        <v>4020</v>
      </c>
    </row>
    <row r="452" spans="1:21" ht="14.25" hidden="1" customHeight="1" x14ac:dyDescent="0.25">
      <c r="A452" s="42" t="s">
        <v>411</v>
      </c>
      <c r="B452" s="66">
        <v>180</v>
      </c>
      <c r="C452" s="53">
        <v>5500</v>
      </c>
      <c r="D452" s="42" t="str">
        <f>LEFT(Table1[[#This Row],[Eelarvekonto]],2)</f>
        <v>55</v>
      </c>
      <c r="E452" s="42" t="str">
        <f>VLOOKUP(Table1[[#This Row],[Eelarvekonto]],Table5[[Konto]:[Konto nimetus]],2,FALSE)</f>
        <v>Administreerimiskulud</v>
      </c>
      <c r="F452" s="42" t="s">
        <v>139</v>
      </c>
      <c r="G452" s="42" t="s">
        <v>24</v>
      </c>
      <c r="H452" s="42"/>
      <c r="I452" s="42"/>
      <c r="J452" s="42" t="s">
        <v>433</v>
      </c>
      <c r="K452" s="42" t="s">
        <v>432</v>
      </c>
      <c r="L452" s="62" t="s">
        <v>431</v>
      </c>
      <c r="M452" s="62" t="str">
        <f>LEFT(Table1[[#This Row],[Tegevusala kood]],2)</f>
        <v>08</v>
      </c>
      <c r="N452" s="41" t="str">
        <f>VLOOKUP(Table1[[#This Row],[Tegevusala kood]],Table4[[Tegevusala kood]:[Tegevusala alanimetus]],2,FALSE)</f>
        <v>Sporditegevuse haldus</v>
      </c>
      <c r="O452" s="42"/>
      <c r="P452" s="42"/>
      <c r="Q452" s="53" t="str">
        <f>VLOOKUP(Table1[[#This Row],[Eelarvekonto]],Table5[[Konto]:[Kontode alanimetus]],5,FALSE)</f>
        <v>Majandamiskulud</v>
      </c>
      <c r="R452" s="53" t="str">
        <f>VLOOKUP(Table1[[#This Row],[Tegevusala kood]],Table4[[Tegevusala kood]:[Tegevusala alanimetus]],4,FALSE)</f>
        <v>Sport</v>
      </c>
      <c r="S452" s="53"/>
      <c r="T452" s="53"/>
      <c r="U452" s="53">
        <f>Table1[[#This Row],[Summa]]+Table1[[#This Row],[I Muudatus]]+Table1[[#This Row],[II Muudatus]]</f>
        <v>180</v>
      </c>
    </row>
    <row r="453" spans="1:21" ht="14.25" hidden="1" customHeight="1" x14ac:dyDescent="0.25">
      <c r="A453" s="41" t="s">
        <v>158</v>
      </c>
      <c r="B453" s="41">
        <v>6327.36</v>
      </c>
      <c r="C453" s="52">
        <v>506</v>
      </c>
      <c r="D453" s="52" t="str">
        <f>LEFT(Table1[[#This Row],[Eelarvekonto]],2)</f>
        <v>50</v>
      </c>
      <c r="E453" s="41" t="str">
        <f>VLOOKUP(Table1[[#This Row],[Eelarvekonto]],Table5[[Konto]:[Konto nimetus]],2,FALSE)</f>
        <v>Tööjõukuludega kaasnevad maksud ja sotsiaalkindlustusmaksed</v>
      </c>
      <c r="F453" s="41" t="s">
        <v>139</v>
      </c>
      <c r="G453" s="41" t="s">
        <v>24</v>
      </c>
      <c r="J453" s="41" t="s">
        <v>433</v>
      </c>
      <c r="K453" s="41" t="s">
        <v>432</v>
      </c>
      <c r="L453" s="58" t="s">
        <v>431</v>
      </c>
      <c r="M453" s="58" t="str">
        <f>LEFT(Table1[[#This Row],[Tegevusala kood]],2)</f>
        <v>08</v>
      </c>
      <c r="N453" s="41" t="str">
        <f>VLOOKUP(Table1[[#This Row],[Tegevusala kood]],Table4[[Tegevusala kood]:[Tegevusala alanimetus]],2,FALSE)</f>
        <v>Sporditegevuse haldus</v>
      </c>
      <c r="O453" s="41" t="s">
        <v>1</v>
      </c>
      <c r="P453" s="41" t="s">
        <v>1</v>
      </c>
      <c r="Q453" s="41" t="str">
        <f>VLOOKUP(Table1[[#This Row],[Eelarvekonto]],Table5[[Konto]:[Kontode alanimetus]],5,FALSE)</f>
        <v>Tööjõukulud</v>
      </c>
      <c r="R453" s="42" t="str">
        <f>VLOOKUP(Table1[[#This Row],[Tegevusala kood]],Table4[[Tegevusala kood]:[Tegevusala alanimetus]],4,FALSE)</f>
        <v>Sport</v>
      </c>
      <c r="S453" s="53"/>
      <c r="T453" s="53"/>
      <c r="U453" s="53">
        <f>Table1[[#This Row],[Summa]]+Table1[[#This Row],[I Muudatus]]+Table1[[#This Row],[II Muudatus]]</f>
        <v>6327.36</v>
      </c>
    </row>
    <row r="454" spans="1:21" ht="14.25" hidden="1" customHeight="1" x14ac:dyDescent="0.25">
      <c r="A454" s="41" t="s">
        <v>737</v>
      </c>
      <c r="B454" s="41">
        <v>18720</v>
      </c>
      <c r="C454" s="52">
        <v>5002</v>
      </c>
      <c r="D454" s="52" t="str">
        <f>LEFT(Table1[[#This Row],[Eelarvekonto]],2)</f>
        <v>50</v>
      </c>
      <c r="E454" s="41" t="str">
        <f>VLOOKUP(Table1[[#This Row],[Eelarvekonto]],Table5[[Konto]:[Konto nimetus]],2,FALSE)</f>
        <v>Töötajate töötasud</v>
      </c>
      <c r="F454" s="41" t="s">
        <v>139</v>
      </c>
      <c r="G454" s="41" t="s">
        <v>24</v>
      </c>
      <c r="J454" s="41" t="s">
        <v>433</v>
      </c>
      <c r="K454" s="41" t="s">
        <v>432</v>
      </c>
      <c r="L454" s="58" t="s">
        <v>431</v>
      </c>
      <c r="M454" s="58" t="str">
        <f>LEFT(Table1[[#This Row],[Tegevusala kood]],2)</f>
        <v>08</v>
      </c>
      <c r="N454" s="41" t="str">
        <f>VLOOKUP(Table1[[#This Row],[Tegevusala kood]],Table4[[Tegevusala kood]:[Tegevusala alanimetus]],2,FALSE)</f>
        <v>Sporditegevuse haldus</v>
      </c>
      <c r="O454" s="41" t="s">
        <v>1</v>
      </c>
      <c r="P454" s="41" t="s">
        <v>1</v>
      </c>
      <c r="Q454" s="41" t="str">
        <f>VLOOKUP(Table1[[#This Row],[Eelarvekonto]],Table5[[Konto]:[Kontode alanimetus]],5,FALSE)</f>
        <v>Tööjõukulud</v>
      </c>
      <c r="R454" s="42" t="str">
        <f>VLOOKUP(Table1[[#This Row],[Tegevusala kood]],Table4[[Tegevusala kood]:[Tegevusala alanimetus]],4,FALSE)</f>
        <v>Sport</v>
      </c>
      <c r="S454" s="53"/>
      <c r="T454" s="53"/>
      <c r="U454" s="53">
        <f>Table1[[#This Row],[Summa]]+Table1[[#This Row],[I Muudatus]]+Table1[[#This Row],[II Muudatus]]</f>
        <v>18720</v>
      </c>
    </row>
    <row r="455" spans="1:21" ht="14.25" hidden="1" customHeight="1" x14ac:dyDescent="0.25">
      <c r="A455" s="41" t="s">
        <v>1079</v>
      </c>
      <c r="B455" s="41">
        <v>72000</v>
      </c>
      <c r="C455" s="52">
        <v>4500</v>
      </c>
      <c r="D455" s="52" t="str">
        <f>LEFT(Table1[[#This Row],[Eelarvekonto]],2)</f>
        <v>45</v>
      </c>
      <c r="E455" s="41" t="str">
        <f>VLOOKUP(Table1[[#This Row],[Eelarvekonto]],Table5[[Konto]:[Konto nimetus]],2,FALSE)</f>
        <v>Antud sihtfinantseerimine tegevuskuludeks</v>
      </c>
      <c r="F455" s="41" t="s">
        <v>139</v>
      </c>
      <c r="G455" s="41" t="s">
        <v>24</v>
      </c>
      <c r="J455" s="41" t="s">
        <v>416</v>
      </c>
      <c r="K455" s="41" t="s">
        <v>415</v>
      </c>
      <c r="L455" s="58" t="s">
        <v>414</v>
      </c>
      <c r="M455" s="58" t="str">
        <f>LEFT(Table1[[#This Row],[Tegevusala kood]],2)</f>
        <v>08</v>
      </c>
      <c r="N455" s="41" t="str">
        <f>VLOOKUP(Table1[[#This Row],[Tegevusala kood]],Table4[[Tegevusala kood]:[Tegevusala alanimetus]],2,FALSE)</f>
        <v>Vinni Valla Noored MTÜ</v>
      </c>
      <c r="O455" s="41" t="s">
        <v>1</v>
      </c>
      <c r="P455" s="41" t="s">
        <v>1</v>
      </c>
      <c r="Q455" s="41" t="str">
        <f>VLOOKUP(Table1[[#This Row],[Eelarvekonto]],Table5[[Konto]:[Kontode alanimetus]],5,FALSE)</f>
        <v>Sihtotstarbelised toetused tegevuskuludeks</v>
      </c>
      <c r="R455" s="42" t="str">
        <f>VLOOKUP(Table1[[#This Row],[Tegevusala kood]],Table4[[Tegevusala kood]:[Tegevusala alanimetus]],4,FALSE)</f>
        <v>Noorsootöö ja noortekeskused</v>
      </c>
      <c r="S455" s="53"/>
      <c r="T455" s="53"/>
      <c r="U455" s="53">
        <f>Table1[[#This Row],[Summa]]+Table1[[#This Row],[I Muudatus]]+Table1[[#This Row],[II Muudatus]]</f>
        <v>72000</v>
      </c>
    </row>
    <row r="456" spans="1:21" ht="14.25" hidden="1" customHeight="1" x14ac:dyDescent="0.25">
      <c r="A456" s="41" t="s">
        <v>1080</v>
      </c>
      <c r="B456" s="41">
        <v>720</v>
      </c>
      <c r="C456" s="52">
        <v>5525</v>
      </c>
      <c r="D456" s="52" t="str">
        <f>LEFT(Table1[[#This Row],[Eelarvekonto]],2)</f>
        <v>55</v>
      </c>
      <c r="E456" s="41" t="str">
        <f>VLOOKUP(Table1[[#This Row],[Eelarvekonto]],Table5[[Konto]:[Konto nimetus]],2,FALSE)</f>
        <v>Kommunikatsiooni-, kultuuri- ja vaba aja sisustamise kulud</v>
      </c>
      <c r="F456" s="41" t="s">
        <v>139</v>
      </c>
      <c r="G456" s="41" t="s">
        <v>24</v>
      </c>
      <c r="J456" s="41" t="s">
        <v>139</v>
      </c>
      <c r="K456" s="41" t="s">
        <v>54</v>
      </c>
      <c r="L456" s="58" t="s">
        <v>446</v>
      </c>
      <c r="M456" s="58" t="str">
        <f>LEFT(Table1[[#This Row],[Tegevusala kood]],2)</f>
        <v>08</v>
      </c>
      <c r="N456" s="41" t="str">
        <f>VLOOKUP(Table1[[#This Row],[Tegevusala kood]],Table4[[Tegevusala kood]:[Tegevusala alanimetus]],2,FALSE)</f>
        <v>Valla üritused</v>
      </c>
      <c r="O456" s="41" t="s">
        <v>1</v>
      </c>
      <c r="P456" s="41" t="s">
        <v>1</v>
      </c>
      <c r="Q456" s="41" t="str">
        <f>VLOOKUP(Table1[[#This Row],[Eelarvekonto]],Table5[[Konto]:[Kontode alanimetus]],5,FALSE)</f>
        <v>Majandamiskulud</v>
      </c>
      <c r="R456" s="42" t="str">
        <f>VLOOKUP(Table1[[#This Row],[Tegevusala kood]],Table4[[Tegevusala kood]:[Tegevusala alanimetus]],4,FALSE)</f>
        <v>Vaba aja üritused</v>
      </c>
      <c r="S456" s="53"/>
      <c r="T456" s="53"/>
      <c r="U456" s="53">
        <f>Table1[[#This Row],[Summa]]+Table1[[#This Row],[I Muudatus]]+Table1[[#This Row],[II Muudatus]]</f>
        <v>720</v>
      </c>
    </row>
    <row r="457" spans="1:21" ht="14.25" hidden="1" customHeight="1" x14ac:dyDescent="0.25">
      <c r="A457" s="41" t="s">
        <v>1081</v>
      </c>
      <c r="B457" s="41">
        <v>32000</v>
      </c>
      <c r="C457" s="52">
        <v>5525</v>
      </c>
      <c r="D457" s="52" t="str">
        <f>LEFT(Table1[[#This Row],[Eelarvekonto]],2)</f>
        <v>55</v>
      </c>
      <c r="E457" s="41" t="str">
        <f>VLOOKUP(Table1[[#This Row],[Eelarvekonto]],Table5[[Konto]:[Konto nimetus]],2,FALSE)</f>
        <v>Kommunikatsiooni-, kultuuri- ja vaba aja sisustamise kulud</v>
      </c>
      <c r="F457" s="41" t="s">
        <v>139</v>
      </c>
      <c r="G457" s="41" t="s">
        <v>24</v>
      </c>
      <c r="J457" s="41" t="s">
        <v>139</v>
      </c>
      <c r="K457" s="41" t="s">
        <v>54</v>
      </c>
      <c r="L457" s="58" t="s">
        <v>446</v>
      </c>
      <c r="M457" s="58" t="str">
        <f>LEFT(Table1[[#This Row],[Tegevusala kood]],2)</f>
        <v>08</v>
      </c>
      <c r="N457" s="41" t="str">
        <f>VLOOKUP(Table1[[#This Row],[Tegevusala kood]],Table4[[Tegevusala kood]:[Tegevusala alanimetus]],2,FALSE)</f>
        <v>Valla üritused</v>
      </c>
      <c r="O457" s="41" t="s">
        <v>1</v>
      </c>
      <c r="P457" s="41" t="s">
        <v>1</v>
      </c>
      <c r="Q457" s="41" t="str">
        <f>VLOOKUP(Table1[[#This Row],[Eelarvekonto]],Table5[[Konto]:[Kontode alanimetus]],5,FALSE)</f>
        <v>Majandamiskulud</v>
      </c>
      <c r="R457" s="42" t="str">
        <f>VLOOKUP(Table1[[#This Row],[Tegevusala kood]],Table4[[Tegevusala kood]:[Tegevusala alanimetus]],4,FALSE)</f>
        <v>Vaba aja üritused</v>
      </c>
      <c r="S457" s="53"/>
      <c r="T457" s="53"/>
      <c r="U457" s="53">
        <f>Table1[[#This Row],[Summa]]+Table1[[#This Row],[I Muudatus]]+Table1[[#This Row],[II Muudatus]]</f>
        <v>32000</v>
      </c>
    </row>
    <row r="458" spans="1:21" ht="14.25" hidden="1" customHeight="1" x14ac:dyDescent="0.25">
      <c r="A458" s="41" t="s">
        <v>617</v>
      </c>
      <c r="B458" s="41">
        <v>41340</v>
      </c>
      <c r="C458" s="52">
        <v>5524</v>
      </c>
      <c r="D458" s="52" t="str">
        <f>LEFT(Table1[[#This Row],[Eelarvekonto]],2)</f>
        <v>55</v>
      </c>
      <c r="E458" s="41" t="str">
        <f>VLOOKUP(Table1[[#This Row],[Eelarvekonto]],Table5[[Konto]:[Konto nimetus]],2,FALSE)</f>
        <v>Õppevahendite ja koolituse kulud</v>
      </c>
      <c r="F458" s="41" t="s">
        <v>139</v>
      </c>
      <c r="G458" s="41" t="s">
        <v>24</v>
      </c>
      <c r="J458" s="41" t="s">
        <v>342</v>
      </c>
      <c r="K458" s="41" t="s">
        <v>341</v>
      </c>
      <c r="L458" s="58" t="s">
        <v>353</v>
      </c>
      <c r="M458" s="58" t="str">
        <f>LEFT(Table1[[#This Row],[Tegevusala kood]],2)</f>
        <v>09</v>
      </c>
      <c r="N458" s="41" t="str">
        <f>VLOOKUP(Table1[[#This Row],[Tegevusala kood]],Table4[[Tegevusala kood]:[Tegevusala alanimetus]],2,FALSE)</f>
        <v>Muusikakoolide kohatasud</v>
      </c>
      <c r="O458" s="41" t="s">
        <v>1</v>
      </c>
      <c r="P458" s="41" t="s">
        <v>1</v>
      </c>
      <c r="Q458" s="41" t="str">
        <f>VLOOKUP(Table1[[#This Row],[Eelarvekonto]],Table5[[Konto]:[Kontode alanimetus]],5,FALSE)</f>
        <v>Majandamiskulud</v>
      </c>
      <c r="R458" s="42" t="str">
        <f>VLOOKUP(Table1[[#This Row],[Tegevusala kood]],Table4[[Tegevusala kood]:[Tegevusala alanimetus]],4,FALSE)</f>
        <v>Noorte huviharidus ja huvitegevus</v>
      </c>
      <c r="S458" s="53"/>
      <c r="T458" s="53"/>
      <c r="U458" s="53">
        <f>Table1[[#This Row],[Summa]]+Table1[[#This Row],[I Muudatus]]+Table1[[#This Row],[II Muudatus]]</f>
        <v>41340</v>
      </c>
    </row>
    <row r="459" spans="1:21" ht="14.25" hidden="1" customHeight="1" x14ac:dyDescent="0.25">
      <c r="A459" s="41" t="s">
        <v>616</v>
      </c>
      <c r="B459" s="41">
        <v>11640</v>
      </c>
      <c r="C459" s="52">
        <v>5524</v>
      </c>
      <c r="D459" s="52" t="str">
        <f>LEFT(Table1[[#This Row],[Eelarvekonto]],2)</f>
        <v>55</v>
      </c>
      <c r="E459" s="41" t="str">
        <f>VLOOKUP(Table1[[#This Row],[Eelarvekonto]],Table5[[Konto]:[Konto nimetus]],2,FALSE)</f>
        <v>Õppevahendite ja koolituse kulud</v>
      </c>
      <c r="F459" s="41" t="s">
        <v>139</v>
      </c>
      <c r="G459" s="41" t="s">
        <v>24</v>
      </c>
      <c r="J459" s="41" t="s">
        <v>342</v>
      </c>
      <c r="K459" s="41" t="s">
        <v>341</v>
      </c>
      <c r="L459" s="58" t="s">
        <v>353</v>
      </c>
      <c r="M459" s="58" t="str">
        <f>LEFT(Table1[[#This Row],[Tegevusala kood]],2)</f>
        <v>09</v>
      </c>
      <c r="N459" s="41" t="str">
        <f>VLOOKUP(Table1[[#This Row],[Tegevusala kood]],Table4[[Tegevusala kood]:[Tegevusala alanimetus]],2,FALSE)</f>
        <v>Muusikakoolide kohatasud</v>
      </c>
      <c r="O459" s="41" t="s">
        <v>1</v>
      </c>
      <c r="P459" s="41" t="s">
        <v>1</v>
      </c>
      <c r="Q459" s="41" t="str">
        <f>VLOOKUP(Table1[[#This Row],[Eelarvekonto]],Table5[[Konto]:[Kontode alanimetus]],5,FALSE)</f>
        <v>Majandamiskulud</v>
      </c>
      <c r="R459" s="42" t="str">
        <f>VLOOKUP(Table1[[#This Row],[Tegevusala kood]],Table4[[Tegevusala kood]:[Tegevusala alanimetus]],4,FALSE)</f>
        <v>Noorte huviharidus ja huvitegevus</v>
      </c>
      <c r="S459" s="53"/>
      <c r="T459" s="53"/>
      <c r="U459" s="53">
        <f>Table1[[#This Row],[Summa]]+Table1[[#This Row],[I Muudatus]]+Table1[[#This Row],[II Muudatus]]</f>
        <v>11640</v>
      </c>
    </row>
    <row r="460" spans="1:21" ht="14.25" hidden="1" customHeight="1" x14ac:dyDescent="0.25">
      <c r="A460" s="41" t="s">
        <v>1082</v>
      </c>
      <c r="B460" s="41">
        <v>98000</v>
      </c>
      <c r="C460" s="52">
        <v>5524</v>
      </c>
      <c r="D460" s="52" t="str">
        <f>LEFT(Table1[[#This Row],[Eelarvekonto]],2)</f>
        <v>55</v>
      </c>
      <c r="E460" s="41" t="str">
        <f>VLOOKUP(Table1[[#This Row],[Eelarvekonto]],Table5[[Konto]:[Konto nimetus]],2,FALSE)</f>
        <v>Õppevahendite ja koolituse kulud</v>
      </c>
      <c r="F460" s="41" t="s">
        <v>139</v>
      </c>
      <c r="G460" s="41" t="s">
        <v>24</v>
      </c>
      <c r="J460" s="41" t="s">
        <v>342</v>
      </c>
      <c r="K460" s="41" t="s">
        <v>341</v>
      </c>
      <c r="L460" s="58" t="s">
        <v>351</v>
      </c>
      <c r="M460" s="58" t="str">
        <f>LEFT(Table1[[#This Row],[Tegevusala kood]],2)</f>
        <v>09</v>
      </c>
      <c r="N460" s="41" t="str">
        <f>VLOOKUP(Table1[[#This Row],[Tegevusala kood]],Table4[[Tegevusala kood]:[Tegevusala alanimetus]],2,FALSE)</f>
        <v>Huvihariduse/ -tegevuse kompensatsioonid</v>
      </c>
      <c r="O460" s="41" t="s">
        <v>1</v>
      </c>
      <c r="P460" s="41" t="s">
        <v>1</v>
      </c>
      <c r="Q460" s="41" t="str">
        <f>VLOOKUP(Table1[[#This Row],[Eelarvekonto]],Table5[[Konto]:[Kontode alanimetus]],5,FALSE)</f>
        <v>Majandamiskulud</v>
      </c>
      <c r="R460" s="42" t="str">
        <f>VLOOKUP(Table1[[#This Row],[Tegevusala kood]],Table4[[Tegevusala kood]:[Tegevusala alanimetus]],4,FALSE)</f>
        <v>Noorte huviharidus ja huvitegevus</v>
      </c>
      <c r="S460" s="53"/>
      <c r="T460" s="53"/>
      <c r="U460" s="53">
        <f>Table1[[#This Row],[Summa]]+Table1[[#This Row],[I Muudatus]]+Table1[[#This Row],[II Muudatus]]</f>
        <v>98000</v>
      </c>
    </row>
    <row r="461" spans="1:21" ht="14.25" hidden="1" customHeight="1" x14ac:dyDescent="0.25">
      <c r="A461" s="41" t="s">
        <v>1083</v>
      </c>
      <c r="B461" s="41">
        <v>1984</v>
      </c>
      <c r="C461" s="52">
        <v>5002</v>
      </c>
      <c r="D461" s="52" t="str">
        <f>LEFT(Table1[[#This Row],[Eelarvekonto]],2)</f>
        <v>50</v>
      </c>
      <c r="E461" s="41" t="str">
        <f>VLOOKUP(Table1[[#This Row],[Eelarvekonto]],Table5[[Konto]:[Konto nimetus]],2,FALSE)</f>
        <v>Töötajate töötasud</v>
      </c>
      <c r="F461" s="41" t="s">
        <v>139</v>
      </c>
      <c r="G461" s="41" t="s">
        <v>24</v>
      </c>
      <c r="J461" s="41" t="s">
        <v>258</v>
      </c>
      <c r="K461" s="41" t="s">
        <v>256</v>
      </c>
      <c r="L461" s="58" t="s">
        <v>260</v>
      </c>
      <c r="M461" s="58" t="str">
        <f>LEFT(Table1[[#This Row],[Tegevusala kood]],2)</f>
        <v>09</v>
      </c>
      <c r="N461" s="41" t="str">
        <f>VLOOKUP(Table1[[#This Row],[Tegevusala kood]],Table4[[Tegevusala kood]:[Tegevusala alanimetus]],2,FALSE)</f>
        <v>Tudu Lasteaed</v>
      </c>
      <c r="O461" s="41" t="s">
        <v>1</v>
      </c>
      <c r="P461" s="41" t="s">
        <v>1</v>
      </c>
      <c r="Q461" s="41" t="str">
        <f>VLOOKUP(Table1[[#This Row],[Eelarvekonto]],Table5[[Konto]:[Kontode alanimetus]],5,FALSE)</f>
        <v>Tööjõukulud</v>
      </c>
      <c r="R461" s="42" t="str">
        <f>VLOOKUP(Table1[[#This Row],[Tegevusala kood]],Table4[[Tegevusala kood]:[Tegevusala alanimetus]],4,FALSE)</f>
        <v>Alusharidus</v>
      </c>
      <c r="S461" s="53"/>
      <c r="T461" s="53"/>
      <c r="U461" s="53">
        <f>Table1[[#This Row],[Summa]]+Table1[[#This Row],[I Muudatus]]+Table1[[#This Row],[II Muudatus]]</f>
        <v>1984</v>
      </c>
    </row>
    <row r="462" spans="1:21" ht="14.25" hidden="1" customHeight="1" x14ac:dyDescent="0.25">
      <c r="A462" s="41" t="s">
        <v>158</v>
      </c>
      <c r="B462" s="41">
        <v>14943.66</v>
      </c>
      <c r="C462" s="52">
        <v>506</v>
      </c>
      <c r="D462" s="52" t="str">
        <f>LEFT(Table1[[#This Row],[Eelarvekonto]],2)</f>
        <v>50</v>
      </c>
      <c r="E462" s="41" t="str">
        <f>VLOOKUP(Table1[[#This Row],[Eelarvekonto]],Table5[[Konto]:[Konto nimetus]],2,FALSE)</f>
        <v>Tööjõukuludega kaasnevad maksud ja sotsiaalkindlustusmaksed</v>
      </c>
      <c r="F462" s="41" t="s">
        <v>139</v>
      </c>
      <c r="G462" s="41" t="s">
        <v>24</v>
      </c>
      <c r="J462" s="41" t="s">
        <v>258</v>
      </c>
      <c r="K462" s="41" t="s">
        <v>256</v>
      </c>
      <c r="L462" s="58" t="s">
        <v>260</v>
      </c>
      <c r="M462" s="58" t="str">
        <f>LEFT(Table1[[#This Row],[Tegevusala kood]],2)</f>
        <v>09</v>
      </c>
      <c r="N462" s="41" t="str">
        <f>VLOOKUP(Table1[[#This Row],[Tegevusala kood]],Table4[[Tegevusala kood]:[Tegevusala alanimetus]],2,FALSE)</f>
        <v>Tudu Lasteaed</v>
      </c>
      <c r="O462" s="41" t="s">
        <v>1</v>
      </c>
      <c r="P462" s="41" t="s">
        <v>1</v>
      </c>
      <c r="Q462" s="41" t="str">
        <f>VLOOKUP(Table1[[#This Row],[Eelarvekonto]],Table5[[Konto]:[Kontode alanimetus]],5,FALSE)</f>
        <v>Tööjõukulud</v>
      </c>
      <c r="R462" s="42" t="str">
        <f>VLOOKUP(Table1[[#This Row],[Tegevusala kood]],Table4[[Tegevusala kood]:[Tegevusala alanimetus]],4,FALSE)</f>
        <v>Alusharidus</v>
      </c>
      <c r="S462" s="53"/>
      <c r="T462" s="53"/>
      <c r="U462" s="53">
        <f>Table1[[#This Row],[Summa]]+Table1[[#This Row],[I Muudatus]]+Table1[[#This Row],[II Muudatus]]</f>
        <v>14943.66</v>
      </c>
    </row>
    <row r="463" spans="1:21" ht="14.25" hidden="1" customHeight="1" x14ac:dyDescent="0.25">
      <c r="A463" s="41" t="s">
        <v>1084</v>
      </c>
      <c r="B463" s="41">
        <v>1752</v>
      </c>
      <c r="C463" s="52">
        <v>5002</v>
      </c>
      <c r="D463" s="52" t="str">
        <f>LEFT(Table1[[#This Row],[Eelarvekonto]],2)</f>
        <v>50</v>
      </c>
      <c r="E463" s="41" t="str">
        <f>VLOOKUP(Table1[[#This Row],[Eelarvekonto]],Table5[[Konto]:[Konto nimetus]],2,FALSE)</f>
        <v>Töötajate töötasud</v>
      </c>
      <c r="F463" s="41" t="s">
        <v>139</v>
      </c>
      <c r="G463" s="41" t="s">
        <v>24</v>
      </c>
      <c r="J463" s="41" t="s">
        <v>258</v>
      </c>
      <c r="K463" s="41" t="s">
        <v>256</v>
      </c>
      <c r="L463" s="58" t="s">
        <v>260</v>
      </c>
      <c r="M463" s="58" t="str">
        <f>LEFT(Table1[[#This Row],[Tegevusala kood]],2)</f>
        <v>09</v>
      </c>
      <c r="N463" s="41" t="str">
        <f>VLOOKUP(Table1[[#This Row],[Tegevusala kood]],Table4[[Tegevusala kood]:[Tegevusala alanimetus]],2,FALSE)</f>
        <v>Tudu Lasteaed</v>
      </c>
      <c r="O463" s="41" t="s">
        <v>1</v>
      </c>
      <c r="P463" s="41" t="s">
        <v>1</v>
      </c>
      <c r="Q463" s="41" t="str">
        <f>VLOOKUP(Table1[[#This Row],[Eelarvekonto]],Table5[[Konto]:[Kontode alanimetus]],5,FALSE)</f>
        <v>Tööjõukulud</v>
      </c>
      <c r="R463" s="42" t="str">
        <f>VLOOKUP(Table1[[#This Row],[Tegevusala kood]],Table4[[Tegevusala kood]:[Tegevusala alanimetus]],4,FALSE)</f>
        <v>Alusharidus</v>
      </c>
      <c r="S463" s="53"/>
      <c r="T463" s="53"/>
      <c r="U463" s="53">
        <f>Table1[[#This Row],[Summa]]+Table1[[#This Row],[I Muudatus]]+Table1[[#This Row],[II Muudatus]]</f>
        <v>1752</v>
      </c>
    </row>
    <row r="464" spans="1:21" ht="14.25" hidden="1" customHeight="1" x14ac:dyDescent="0.25">
      <c r="A464" s="41" t="s">
        <v>529</v>
      </c>
      <c r="B464" s="41">
        <v>9120</v>
      </c>
      <c r="C464" s="52">
        <v>5002</v>
      </c>
      <c r="D464" s="52" t="str">
        <f>LEFT(Table1[[#This Row],[Eelarvekonto]],2)</f>
        <v>50</v>
      </c>
      <c r="E464" s="41" t="str">
        <f>VLOOKUP(Table1[[#This Row],[Eelarvekonto]],Table5[[Konto]:[Konto nimetus]],2,FALSE)</f>
        <v>Töötajate töötasud</v>
      </c>
      <c r="F464" s="41" t="s">
        <v>139</v>
      </c>
      <c r="G464" s="41" t="s">
        <v>24</v>
      </c>
      <c r="J464" s="41" t="s">
        <v>258</v>
      </c>
      <c r="K464" s="41" t="s">
        <v>256</v>
      </c>
      <c r="L464" s="58" t="s">
        <v>260</v>
      </c>
      <c r="M464" s="58" t="str">
        <f>LEFT(Table1[[#This Row],[Tegevusala kood]],2)</f>
        <v>09</v>
      </c>
      <c r="N464" s="41" t="str">
        <f>VLOOKUP(Table1[[#This Row],[Tegevusala kood]],Table4[[Tegevusala kood]:[Tegevusala alanimetus]],2,FALSE)</f>
        <v>Tudu Lasteaed</v>
      </c>
      <c r="O464" s="41" t="s">
        <v>1</v>
      </c>
      <c r="P464" s="41" t="s">
        <v>1</v>
      </c>
      <c r="Q464" s="41" t="str">
        <f>VLOOKUP(Table1[[#This Row],[Eelarvekonto]],Table5[[Konto]:[Kontode alanimetus]],5,FALSE)</f>
        <v>Tööjõukulud</v>
      </c>
      <c r="R464" s="42" t="str">
        <f>VLOOKUP(Table1[[#This Row],[Tegevusala kood]],Table4[[Tegevusala kood]:[Tegevusala alanimetus]],4,FALSE)</f>
        <v>Alusharidus</v>
      </c>
      <c r="S464" s="53"/>
      <c r="T464" s="53"/>
      <c r="U464" s="53">
        <f>Table1[[#This Row],[Summa]]+Table1[[#This Row],[I Muudatus]]+Table1[[#This Row],[II Muudatus]]</f>
        <v>9120</v>
      </c>
    </row>
    <row r="465" spans="1:21" ht="14.25" hidden="1" customHeight="1" x14ac:dyDescent="0.25">
      <c r="A465" s="41" t="s">
        <v>528</v>
      </c>
      <c r="B465" s="41">
        <v>16104</v>
      </c>
      <c r="C465" s="52">
        <v>5002</v>
      </c>
      <c r="D465" s="52" t="str">
        <f>LEFT(Table1[[#This Row],[Eelarvekonto]],2)</f>
        <v>50</v>
      </c>
      <c r="E465" s="41" t="str">
        <f>VLOOKUP(Table1[[#This Row],[Eelarvekonto]],Table5[[Konto]:[Konto nimetus]],2,FALSE)</f>
        <v>Töötajate töötasud</v>
      </c>
      <c r="F465" s="41" t="s">
        <v>139</v>
      </c>
      <c r="G465" s="41" t="s">
        <v>24</v>
      </c>
      <c r="J465" s="41" t="s">
        <v>258</v>
      </c>
      <c r="K465" s="41" t="s">
        <v>256</v>
      </c>
      <c r="L465" s="58" t="s">
        <v>260</v>
      </c>
      <c r="M465" s="58" t="str">
        <f>LEFT(Table1[[#This Row],[Tegevusala kood]],2)</f>
        <v>09</v>
      </c>
      <c r="N465" s="41" t="str">
        <f>VLOOKUP(Table1[[#This Row],[Tegevusala kood]],Table4[[Tegevusala kood]:[Tegevusala alanimetus]],2,FALSE)</f>
        <v>Tudu Lasteaed</v>
      </c>
      <c r="O465" s="41" t="s">
        <v>1</v>
      </c>
      <c r="P465" s="41" t="s">
        <v>1</v>
      </c>
      <c r="Q465" s="41" t="str">
        <f>VLOOKUP(Table1[[#This Row],[Eelarvekonto]],Table5[[Konto]:[Kontode alanimetus]],5,FALSE)</f>
        <v>Tööjõukulud</v>
      </c>
      <c r="R465" s="42" t="str">
        <f>VLOOKUP(Table1[[#This Row],[Tegevusala kood]],Table4[[Tegevusala kood]:[Tegevusala alanimetus]],4,FALSE)</f>
        <v>Alusharidus</v>
      </c>
      <c r="S465" s="53"/>
      <c r="T465" s="53"/>
      <c r="U465" s="53">
        <f>Table1[[#This Row],[Summa]]+Table1[[#This Row],[I Muudatus]]+Table1[[#This Row],[II Muudatus]]</f>
        <v>16104</v>
      </c>
    </row>
    <row r="466" spans="1:21" ht="14.25" hidden="1" customHeight="1" x14ac:dyDescent="0.25">
      <c r="A466" s="41" t="s">
        <v>528</v>
      </c>
      <c r="B466" s="41">
        <v>15252</v>
      </c>
      <c r="C466" s="52">
        <v>5002</v>
      </c>
      <c r="D466" s="52" t="str">
        <f>LEFT(Table1[[#This Row],[Eelarvekonto]],2)</f>
        <v>50</v>
      </c>
      <c r="E466" s="41" t="str">
        <f>VLOOKUP(Table1[[#This Row],[Eelarvekonto]],Table5[[Konto]:[Konto nimetus]],2,FALSE)</f>
        <v>Töötajate töötasud</v>
      </c>
      <c r="F466" s="41" t="s">
        <v>139</v>
      </c>
      <c r="G466" s="41" t="s">
        <v>24</v>
      </c>
      <c r="J466" s="41" t="s">
        <v>258</v>
      </c>
      <c r="K466" s="41" t="s">
        <v>256</v>
      </c>
      <c r="L466" s="58" t="s">
        <v>260</v>
      </c>
      <c r="M466" s="58" t="str">
        <f>LEFT(Table1[[#This Row],[Tegevusala kood]],2)</f>
        <v>09</v>
      </c>
      <c r="N466" s="41" t="str">
        <f>VLOOKUP(Table1[[#This Row],[Tegevusala kood]],Table4[[Tegevusala kood]:[Tegevusala alanimetus]],2,FALSE)</f>
        <v>Tudu Lasteaed</v>
      </c>
      <c r="O466" s="41" t="s">
        <v>1</v>
      </c>
      <c r="P466" s="41" t="s">
        <v>1</v>
      </c>
      <c r="Q466" s="41" t="str">
        <f>VLOOKUP(Table1[[#This Row],[Eelarvekonto]],Table5[[Konto]:[Kontode alanimetus]],5,FALSE)</f>
        <v>Tööjõukulud</v>
      </c>
      <c r="R466" s="42" t="str">
        <f>VLOOKUP(Table1[[#This Row],[Tegevusala kood]],Table4[[Tegevusala kood]:[Tegevusala alanimetus]],4,FALSE)</f>
        <v>Alusharidus</v>
      </c>
      <c r="S466" s="53"/>
      <c r="T466" s="53"/>
      <c r="U466" s="53">
        <f>Table1[[#This Row],[Summa]]+Table1[[#This Row],[I Muudatus]]+Table1[[#This Row],[II Muudatus]]</f>
        <v>15252</v>
      </c>
    </row>
    <row r="467" spans="1:21" ht="14.25" hidden="1" customHeight="1" x14ac:dyDescent="0.25">
      <c r="A467" s="41" t="s">
        <v>307</v>
      </c>
      <c r="B467" s="41">
        <v>263.76</v>
      </c>
      <c r="C467" s="52">
        <v>5514</v>
      </c>
      <c r="D467" s="52" t="str">
        <f>LEFT(Table1[[#This Row],[Eelarvekonto]],2)</f>
        <v>55</v>
      </c>
      <c r="E467" s="41" t="str">
        <f>VLOOKUP(Table1[[#This Row],[Eelarvekonto]],Table5[[Konto]:[Konto nimetus]],2,FALSE)</f>
        <v>Info- ja kommunikatsioonitehnoloogia kulud</v>
      </c>
      <c r="F467" s="41" t="s">
        <v>139</v>
      </c>
      <c r="G467" s="41" t="s">
        <v>24</v>
      </c>
      <c r="J467" s="41" t="s">
        <v>258</v>
      </c>
      <c r="K467" s="41" t="s">
        <v>256</v>
      </c>
      <c r="L467" s="58" t="s">
        <v>260</v>
      </c>
      <c r="M467" s="58" t="str">
        <f>LEFT(Table1[[#This Row],[Tegevusala kood]],2)</f>
        <v>09</v>
      </c>
      <c r="N467" s="41" t="str">
        <f>VLOOKUP(Table1[[#This Row],[Tegevusala kood]],Table4[[Tegevusala kood]:[Tegevusala alanimetus]],2,FALSE)</f>
        <v>Tudu Lasteaed</v>
      </c>
      <c r="O467" s="41" t="s">
        <v>1</v>
      </c>
      <c r="P467" s="41" t="s">
        <v>1</v>
      </c>
      <c r="Q467" s="41" t="str">
        <f>VLOOKUP(Table1[[#This Row],[Eelarvekonto]],Table5[[Konto]:[Kontode alanimetus]],5,FALSE)</f>
        <v>Majandamiskulud</v>
      </c>
      <c r="R467" s="42" t="str">
        <f>VLOOKUP(Table1[[#This Row],[Tegevusala kood]],Table4[[Tegevusala kood]:[Tegevusala alanimetus]],4,FALSE)</f>
        <v>Alusharidus</v>
      </c>
      <c r="S467" s="53"/>
      <c r="T467" s="53"/>
      <c r="U467" s="53">
        <f>Table1[[#This Row],[Summa]]+Table1[[#This Row],[I Muudatus]]+Table1[[#This Row],[II Muudatus]]</f>
        <v>263.76</v>
      </c>
    </row>
    <row r="468" spans="1:21" ht="14.25" hidden="1" customHeight="1" x14ac:dyDescent="0.25">
      <c r="A468" s="41" t="s">
        <v>158</v>
      </c>
      <c r="B468" s="41">
        <v>28696.67</v>
      </c>
      <c r="C468" s="52">
        <v>506</v>
      </c>
      <c r="D468" s="52" t="str">
        <f>LEFT(Table1[[#This Row],[Eelarvekonto]],2)</f>
        <v>50</v>
      </c>
      <c r="E468" s="41" t="str">
        <f>VLOOKUP(Table1[[#This Row],[Eelarvekonto]],Table5[[Konto]:[Konto nimetus]],2,FALSE)</f>
        <v>Tööjõukuludega kaasnevad maksud ja sotsiaalkindlustusmaksed</v>
      </c>
      <c r="F468" s="41" t="s">
        <v>139</v>
      </c>
      <c r="G468" s="41" t="s">
        <v>24</v>
      </c>
      <c r="J468" s="41" t="s">
        <v>264</v>
      </c>
      <c r="K468" s="41" t="s">
        <v>263</v>
      </c>
      <c r="L468" s="58" t="s">
        <v>278</v>
      </c>
      <c r="M468" s="58" t="str">
        <f>LEFT(Table1[[#This Row],[Tegevusala kood]],2)</f>
        <v>09</v>
      </c>
      <c r="N468" s="41" t="str">
        <f>VLOOKUP(Table1[[#This Row],[Tegevusala kood]],Table4[[Tegevusala kood]:[Tegevusala alanimetus]],2,FALSE)</f>
        <v>Roela Lasteaed</v>
      </c>
      <c r="O468" s="41" t="s">
        <v>1</v>
      </c>
      <c r="P468" s="41" t="s">
        <v>1</v>
      </c>
      <c r="Q468" s="41" t="str">
        <f>VLOOKUP(Table1[[#This Row],[Eelarvekonto]],Table5[[Konto]:[Kontode alanimetus]],5,FALSE)</f>
        <v>Tööjõukulud</v>
      </c>
      <c r="R468" s="42" t="str">
        <f>VLOOKUP(Table1[[#This Row],[Tegevusala kood]],Table4[[Tegevusala kood]:[Tegevusala alanimetus]],4,FALSE)</f>
        <v>Alusharidus</v>
      </c>
      <c r="S468" s="53"/>
      <c r="T468" s="53"/>
      <c r="U468" s="53">
        <f>Table1[[#This Row],[Summa]]+Table1[[#This Row],[I Muudatus]]+Table1[[#This Row],[II Muudatus]]</f>
        <v>28696.67</v>
      </c>
    </row>
    <row r="469" spans="1:21" ht="14.25" hidden="1" customHeight="1" x14ac:dyDescent="0.25">
      <c r="A469" s="41" t="s">
        <v>545</v>
      </c>
      <c r="B469" s="41">
        <v>5930.4</v>
      </c>
      <c r="C469" s="52">
        <v>5002</v>
      </c>
      <c r="D469" s="52" t="str">
        <f>LEFT(Table1[[#This Row],[Eelarvekonto]],2)</f>
        <v>50</v>
      </c>
      <c r="E469" s="41" t="str">
        <f>VLOOKUP(Table1[[#This Row],[Eelarvekonto]],Table5[[Konto]:[Konto nimetus]],2,FALSE)</f>
        <v>Töötajate töötasud</v>
      </c>
      <c r="F469" s="41" t="s">
        <v>139</v>
      </c>
      <c r="G469" s="41" t="s">
        <v>24</v>
      </c>
      <c r="J469" s="41" t="s">
        <v>264</v>
      </c>
      <c r="K469" s="41" t="s">
        <v>263</v>
      </c>
      <c r="L469" s="58" t="s">
        <v>278</v>
      </c>
      <c r="M469" s="58" t="str">
        <f>LEFT(Table1[[#This Row],[Tegevusala kood]],2)</f>
        <v>09</v>
      </c>
      <c r="N469" s="41" t="str">
        <f>VLOOKUP(Table1[[#This Row],[Tegevusala kood]],Table4[[Tegevusala kood]:[Tegevusala alanimetus]],2,FALSE)</f>
        <v>Roela Lasteaed</v>
      </c>
      <c r="O469" s="41" t="s">
        <v>1</v>
      </c>
      <c r="P469" s="41" t="s">
        <v>1</v>
      </c>
      <c r="Q469" s="41" t="str">
        <f>VLOOKUP(Table1[[#This Row],[Eelarvekonto]],Table5[[Konto]:[Kontode alanimetus]],5,FALSE)</f>
        <v>Tööjõukulud</v>
      </c>
      <c r="R469" s="42" t="str">
        <f>VLOOKUP(Table1[[#This Row],[Tegevusala kood]],Table4[[Tegevusala kood]:[Tegevusala alanimetus]],4,FALSE)</f>
        <v>Alusharidus</v>
      </c>
      <c r="S469" s="53"/>
      <c r="T469" s="53"/>
      <c r="U469" s="53">
        <f>Table1[[#This Row],[Summa]]+Table1[[#This Row],[I Muudatus]]+Table1[[#This Row],[II Muudatus]]</f>
        <v>5930.4</v>
      </c>
    </row>
    <row r="470" spans="1:21" ht="14.25" hidden="1" customHeight="1" x14ac:dyDescent="0.25">
      <c r="A470" s="41" t="s">
        <v>544</v>
      </c>
      <c r="B470" s="41">
        <v>2288</v>
      </c>
      <c r="C470" s="52">
        <v>5002</v>
      </c>
      <c r="D470" s="52" t="str">
        <f>LEFT(Table1[[#This Row],[Eelarvekonto]],2)</f>
        <v>50</v>
      </c>
      <c r="E470" s="41" t="str">
        <f>VLOOKUP(Table1[[#This Row],[Eelarvekonto]],Table5[[Konto]:[Konto nimetus]],2,FALSE)</f>
        <v>Töötajate töötasud</v>
      </c>
      <c r="F470" s="41" t="s">
        <v>139</v>
      </c>
      <c r="G470" s="41" t="s">
        <v>24</v>
      </c>
      <c r="J470" s="41" t="s">
        <v>264</v>
      </c>
      <c r="K470" s="41" t="s">
        <v>263</v>
      </c>
      <c r="L470" s="58" t="s">
        <v>278</v>
      </c>
      <c r="M470" s="58" t="str">
        <f>LEFT(Table1[[#This Row],[Tegevusala kood]],2)</f>
        <v>09</v>
      </c>
      <c r="N470" s="41" t="str">
        <f>VLOOKUP(Table1[[#This Row],[Tegevusala kood]],Table4[[Tegevusala kood]:[Tegevusala alanimetus]],2,FALSE)</f>
        <v>Roela Lasteaed</v>
      </c>
      <c r="O470" s="41" t="s">
        <v>1</v>
      </c>
      <c r="P470" s="41" t="s">
        <v>1</v>
      </c>
      <c r="Q470" s="41" t="str">
        <f>VLOOKUP(Table1[[#This Row],[Eelarvekonto]],Table5[[Konto]:[Kontode alanimetus]],5,FALSE)</f>
        <v>Tööjõukulud</v>
      </c>
      <c r="R470" s="42" t="str">
        <f>VLOOKUP(Table1[[#This Row],[Tegevusala kood]],Table4[[Tegevusala kood]:[Tegevusala alanimetus]],4,FALSE)</f>
        <v>Alusharidus</v>
      </c>
      <c r="S470" s="53"/>
      <c r="T470" s="53"/>
      <c r="U470" s="53">
        <f>Table1[[#This Row],[Summa]]+Table1[[#This Row],[I Muudatus]]+Table1[[#This Row],[II Muudatus]]</f>
        <v>2288</v>
      </c>
    </row>
    <row r="471" spans="1:21" ht="14.25" hidden="1" customHeight="1" x14ac:dyDescent="0.25">
      <c r="A471" s="41" t="s">
        <v>1085</v>
      </c>
      <c r="B471" s="41">
        <v>16944</v>
      </c>
      <c r="C471" s="52">
        <v>5002</v>
      </c>
      <c r="D471" s="52" t="str">
        <f>LEFT(Table1[[#This Row],[Eelarvekonto]],2)</f>
        <v>50</v>
      </c>
      <c r="E471" s="41" t="str">
        <f>VLOOKUP(Table1[[#This Row],[Eelarvekonto]],Table5[[Konto]:[Konto nimetus]],2,FALSE)</f>
        <v>Töötajate töötasud</v>
      </c>
      <c r="F471" s="41" t="s">
        <v>139</v>
      </c>
      <c r="G471" s="41" t="s">
        <v>24</v>
      </c>
      <c r="J471" s="41" t="s">
        <v>264</v>
      </c>
      <c r="K471" s="41" t="s">
        <v>263</v>
      </c>
      <c r="L471" s="58" t="s">
        <v>278</v>
      </c>
      <c r="M471" s="58" t="str">
        <f>LEFT(Table1[[#This Row],[Tegevusala kood]],2)</f>
        <v>09</v>
      </c>
      <c r="N471" s="41" t="str">
        <f>VLOOKUP(Table1[[#This Row],[Tegevusala kood]],Table4[[Tegevusala kood]:[Tegevusala alanimetus]],2,FALSE)</f>
        <v>Roela Lasteaed</v>
      </c>
      <c r="O471" s="41" t="s">
        <v>1</v>
      </c>
      <c r="P471" s="41" t="s">
        <v>1</v>
      </c>
      <c r="Q471" s="41" t="str">
        <f>VLOOKUP(Table1[[#This Row],[Eelarvekonto]],Table5[[Konto]:[Kontode alanimetus]],5,FALSE)</f>
        <v>Tööjõukulud</v>
      </c>
      <c r="R471" s="42" t="str">
        <f>VLOOKUP(Table1[[#This Row],[Tegevusala kood]],Table4[[Tegevusala kood]:[Tegevusala alanimetus]],4,FALSE)</f>
        <v>Alusharidus</v>
      </c>
      <c r="S471" s="53"/>
      <c r="T471" s="53"/>
      <c r="U471" s="53">
        <f>Table1[[#This Row],[Summa]]+Table1[[#This Row],[I Muudatus]]+Table1[[#This Row],[II Muudatus]]</f>
        <v>16944</v>
      </c>
    </row>
    <row r="472" spans="1:21" ht="14.25" hidden="1" customHeight="1" x14ac:dyDescent="0.25">
      <c r="A472" s="41" t="s">
        <v>528</v>
      </c>
      <c r="B472" s="41">
        <v>5931</v>
      </c>
      <c r="C472" s="52">
        <v>5002</v>
      </c>
      <c r="D472" s="52" t="str">
        <f>LEFT(Table1[[#This Row],[Eelarvekonto]],2)</f>
        <v>50</v>
      </c>
      <c r="E472" s="41" t="str">
        <f>VLOOKUP(Table1[[#This Row],[Eelarvekonto]],Table5[[Konto]:[Konto nimetus]],2,FALSE)</f>
        <v>Töötajate töötasud</v>
      </c>
      <c r="F472" s="41" t="s">
        <v>139</v>
      </c>
      <c r="G472" s="41" t="s">
        <v>24</v>
      </c>
      <c r="J472" s="41" t="s">
        <v>264</v>
      </c>
      <c r="K472" s="41" t="s">
        <v>263</v>
      </c>
      <c r="L472" s="58" t="s">
        <v>278</v>
      </c>
      <c r="M472" s="58" t="str">
        <f>LEFT(Table1[[#This Row],[Tegevusala kood]],2)</f>
        <v>09</v>
      </c>
      <c r="N472" s="41" t="str">
        <f>VLOOKUP(Table1[[#This Row],[Tegevusala kood]],Table4[[Tegevusala kood]:[Tegevusala alanimetus]],2,FALSE)</f>
        <v>Roela Lasteaed</v>
      </c>
      <c r="O472" s="41" t="s">
        <v>1</v>
      </c>
      <c r="P472" s="41" t="s">
        <v>1</v>
      </c>
      <c r="Q472" s="41" t="str">
        <f>VLOOKUP(Table1[[#This Row],[Eelarvekonto]],Table5[[Konto]:[Kontode alanimetus]],5,FALSE)</f>
        <v>Tööjõukulud</v>
      </c>
      <c r="R472" s="42" t="str">
        <f>VLOOKUP(Table1[[#This Row],[Tegevusala kood]],Table4[[Tegevusala kood]:[Tegevusala alanimetus]],4,FALSE)</f>
        <v>Alusharidus</v>
      </c>
      <c r="S472" s="53"/>
      <c r="T472" s="53"/>
      <c r="U472" s="53">
        <f>Table1[[#This Row],[Summa]]+Table1[[#This Row],[I Muudatus]]+Table1[[#This Row],[II Muudatus]]</f>
        <v>5931</v>
      </c>
    </row>
    <row r="473" spans="1:21" ht="14.25" hidden="1" customHeight="1" x14ac:dyDescent="0.25">
      <c r="A473" s="41" t="s">
        <v>529</v>
      </c>
      <c r="B473" s="41">
        <v>7920</v>
      </c>
      <c r="C473" s="52">
        <v>5002</v>
      </c>
      <c r="D473" s="52" t="str">
        <f>LEFT(Table1[[#This Row],[Eelarvekonto]],2)</f>
        <v>50</v>
      </c>
      <c r="E473" s="41" t="str">
        <f>VLOOKUP(Table1[[#This Row],[Eelarvekonto]],Table5[[Konto]:[Konto nimetus]],2,FALSE)</f>
        <v>Töötajate töötasud</v>
      </c>
      <c r="F473" s="41" t="s">
        <v>139</v>
      </c>
      <c r="G473" s="41" t="s">
        <v>24</v>
      </c>
      <c r="J473" s="41" t="s">
        <v>264</v>
      </c>
      <c r="K473" s="41" t="s">
        <v>263</v>
      </c>
      <c r="L473" s="58" t="s">
        <v>278</v>
      </c>
      <c r="M473" s="58" t="str">
        <f>LEFT(Table1[[#This Row],[Tegevusala kood]],2)</f>
        <v>09</v>
      </c>
      <c r="N473" s="41" t="str">
        <f>VLOOKUP(Table1[[#This Row],[Tegevusala kood]],Table4[[Tegevusala kood]:[Tegevusala alanimetus]],2,FALSE)</f>
        <v>Roela Lasteaed</v>
      </c>
      <c r="O473" s="41" t="s">
        <v>1</v>
      </c>
      <c r="P473" s="41" t="s">
        <v>1</v>
      </c>
      <c r="Q473" s="41" t="str">
        <f>VLOOKUP(Table1[[#This Row],[Eelarvekonto]],Table5[[Konto]:[Kontode alanimetus]],5,FALSE)</f>
        <v>Tööjõukulud</v>
      </c>
      <c r="R473" s="42" t="str">
        <f>VLOOKUP(Table1[[#This Row],[Tegevusala kood]],Table4[[Tegevusala kood]:[Tegevusala alanimetus]],4,FALSE)</f>
        <v>Alusharidus</v>
      </c>
      <c r="S473" s="60"/>
      <c r="T473" s="53"/>
      <c r="U473" s="53">
        <f>Table1[[#This Row],[Summa]]+Table1[[#This Row],[I Muudatus]]+Table1[[#This Row],[II Muudatus]]</f>
        <v>7920</v>
      </c>
    </row>
    <row r="474" spans="1:21" ht="14.25" hidden="1" customHeight="1" x14ac:dyDescent="0.25">
      <c r="A474" s="41" t="s">
        <v>512</v>
      </c>
      <c r="B474" s="41">
        <v>3924</v>
      </c>
      <c r="C474" s="52">
        <v>5002</v>
      </c>
      <c r="D474" s="52" t="str">
        <f>LEFT(Table1[[#This Row],[Eelarvekonto]],2)</f>
        <v>50</v>
      </c>
      <c r="E474" s="41" t="str">
        <f>VLOOKUP(Table1[[#This Row],[Eelarvekonto]],Table5[[Konto]:[Konto nimetus]],2,FALSE)</f>
        <v>Töötajate töötasud</v>
      </c>
      <c r="F474" s="41" t="s">
        <v>139</v>
      </c>
      <c r="G474" s="41" t="s">
        <v>24</v>
      </c>
      <c r="J474" s="41" t="s">
        <v>264</v>
      </c>
      <c r="K474" s="41" t="s">
        <v>263</v>
      </c>
      <c r="L474" s="58" t="s">
        <v>278</v>
      </c>
      <c r="M474" s="58" t="str">
        <f>LEFT(Table1[[#This Row],[Tegevusala kood]],2)</f>
        <v>09</v>
      </c>
      <c r="N474" s="41" t="str">
        <f>VLOOKUP(Table1[[#This Row],[Tegevusala kood]],Table4[[Tegevusala kood]:[Tegevusala alanimetus]],2,FALSE)</f>
        <v>Roela Lasteaed</v>
      </c>
      <c r="O474" s="41" t="s">
        <v>1</v>
      </c>
      <c r="P474" s="41" t="s">
        <v>1</v>
      </c>
      <c r="Q474" s="41" t="str">
        <f>VLOOKUP(Table1[[#This Row],[Eelarvekonto]],Table5[[Konto]:[Kontode alanimetus]],5,FALSE)</f>
        <v>Tööjõukulud</v>
      </c>
      <c r="R474" s="42" t="str">
        <f>VLOOKUP(Table1[[#This Row],[Tegevusala kood]],Table4[[Tegevusala kood]:[Tegevusala alanimetus]],4,FALSE)</f>
        <v>Alusharidus</v>
      </c>
      <c r="S474" s="60"/>
      <c r="T474" s="53"/>
      <c r="U474" s="53">
        <f>Table1[[#This Row],[Summa]]+Table1[[#This Row],[I Muudatus]]+Table1[[#This Row],[II Muudatus]]</f>
        <v>3924</v>
      </c>
    </row>
    <row r="475" spans="1:21" ht="14.25" hidden="1" customHeight="1" x14ac:dyDescent="0.25">
      <c r="A475" s="41" t="s">
        <v>301</v>
      </c>
      <c r="B475" s="41">
        <v>2364</v>
      </c>
      <c r="C475" s="52">
        <v>5002</v>
      </c>
      <c r="D475" s="52" t="str">
        <f>LEFT(Table1[[#This Row],[Eelarvekonto]],2)</f>
        <v>50</v>
      </c>
      <c r="E475" s="41" t="str">
        <f>VLOOKUP(Table1[[#This Row],[Eelarvekonto]],Table5[[Konto]:[Konto nimetus]],2,FALSE)</f>
        <v>Töötajate töötasud</v>
      </c>
      <c r="F475" s="41" t="s">
        <v>139</v>
      </c>
      <c r="G475" s="41" t="s">
        <v>24</v>
      </c>
      <c r="J475" s="41" t="s">
        <v>264</v>
      </c>
      <c r="K475" s="41" t="s">
        <v>263</v>
      </c>
      <c r="L475" s="58" t="s">
        <v>278</v>
      </c>
      <c r="M475" s="58" t="str">
        <f>LEFT(Table1[[#This Row],[Tegevusala kood]],2)</f>
        <v>09</v>
      </c>
      <c r="N475" s="41" t="str">
        <f>VLOOKUP(Table1[[#This Row],[Tegevusala kood]],Table4[[Tegevusala kood]:[Tegevusala alanimetus]],2,FALSE)</f>
        <v>Roela Lasteaed</v>
      </c>
      <c r="O475" s="41" t="s">
        <v>1</v>
      </c>
      <c r="P475" s="41" t="s">
        <v>1</v>
      </c>
      <c r="Q475" s="41" t="str">
        <f>VLOOKUP(Table1[[#This Row],[Eelarvekonto]],Table5[[Konto]:[Kontode alanimetus]],5,FALSE)</f>
        <v>Tööjõukulud</v>
      </c>
      <c r="R475" s="42" t="str">
        <f>VLOOKUP(Table1[[#This Row],[Tegevusala kood]],Table4[[Tegevusala kood]:[Tegevusala alanimetus]],4,FALSE)</f>
        <v>Alusharidus</v>
      </c>
      <c r="S475" s="60"/>
      <c r="T475" s="53"/>
      <c r="U475" s="53">
        <f>Table1[[#This Row],[Summa]]+Table1[[#This Row],[I Muudatus]]+Table1[[#This Row],[II Muudatus]]</f>
        <v>2364</v>
      </c>
    </row>
    <row r="476" spans="1:21" ht="14.25" hidden="1" customHeight="1" x14ac:dyDescent="0.25">
      <c r="A476" s="41" t="s">
        <v>528</v>
      </c>
      <c r="B476" s="41">
        <v>30504</v>
      </c>
      <c r="C476" s="52">
        <v>5002</v>
      </c>
      <c r="D476" s="52" t="str">
        <f>LEFT(Table1[[#This Row],[Eelarvekonto]],2)</f>
        <v>50</v>
      </c>
      <c r="E476" s="41" t="str">
        <f>VLOOKUP(Table1[[#This Row],[Eelarvekonto]],Table5[[Konto]:[Konto nimetus]],2,FALSE)</f>
        <v>Töötajate töötasud</v>
      </c>
      <c r="F476" s="41" t="s">
        <v>139</v>
      </c>
      <c r="G476" s="41" t="s">
        <v>24</v>
      </c>
      <c r="J476" s="41" t="s">
        <v>264</v>
      </c>
      <c r="K476" s="41" t="s">
        <v>263</v>
      </c>
      <c r="L476" s="58" t="s">
        <v>278</v>
      </c>
      <c r="M476" s="58" t="str">
        <f>LEFT(Table1[[#This Row],[Tegevusala kood]],2)</f>
        <v>09</v>
      </c>
      <c r="N476" s="41" t="str">
        <f>VLOOKUP(Table1[[#This Row],[Tegevusala kood]],Table4[[Tegevusala kood]:[Tegevusala alanimetus]],2,FALSE)</f>
        <v>Roela Lasteaed</v>
      </c>
      <c r="O476" s="41" t="s">
        <v>1</v>
      </c>
      <c r="P476" s="41" t="s">
        <v>1</v>
      </c>
      <c r="Q476" s="41" t="str">
        <f>VLOOKUP(Table1[[#This Row],[Eelarvekonto]],Table5[[Konto]:[Kontode alanimetus]],5,FALSE)</f>
        <v>Tööjõukulud</v>
      </c>
      <c r="R476" s="42" t="str">
        <f>VLOOKUP(Table1[[#This Row],[Tegevusala kood]],Table4[[Tegevusala kood]:[Tegevusala alanimetus]],4,FALSE)</f>
        <v>Alusharidus</v>
      </c>
      <c r="S476" s="60"/>
      <c r="T476" s="53"/>
      <c r="U476" s="53">
        <f>Table1[[#This Row],[Summa]]+Table1[[#This Row],[I Muudatus]]+Table1[[#This Row],[II Muudatus]]</f>
        <v>30504</v>
      </c>
    </row>
    <row r="477" spans="1:21" ht="14.25" hidden="1" customHeight="1" x14ac:dyDescent="0.25">
      <c r="A477" s="41" t="s">
        <v>529</v>
      </c>
      <c r="B477" s="41">
        <v>9096</v>
      </c>
      <c r="C477" s="52">
        <v>5002</v>
      </c>
      <c r="D477" s="52" t="str">
        <f>LEFT(Table1[[#This Row],[Eelarvekonto]],2)</f>
        <v>50</v>
      </c>
      <c r="E477" s="41" t="str">
        <f>VLOOKUP(Table1[[#This Row],[Eelarvekonto]],Table5[[Konto]:[Konto nimetus]],2,FALSE)</f>
        <v>Töötajate töötasud</v>
      </c>
      <c r="F477" s="41" t="s">
        <v>139</v>
      </c>
      <c r="G477" s="41" t="s">
        <v>24</v>
      </c>
      <c r="J477" s="41" t="s">
        <v>264</v>
      </c>
      <c r="K477" s="41" t="s">
        <v>263</v>
      </c>
      <c r="L477" s="58" t="s">
        <v>278</v>
      </c>
      <c r="M477" s="58" t="str">
        <f>LEFT(Table1[[#This Row],[Tegevusala kood]],2)</f>
        <v>09</v>
      </c>
      <c r="N477" s="41" t="str">
        <f>VLOOKUP(Table1[[#This Row],[Tegevusala kood]],Table4[[Tegevusala kood]:[Tegevusala alanimetus]],2,FALSE)</f>
        <v>Roela Lasteaed</v>
      </c>
      <c r="O477" s="41" t="s">
        <v>1</v>
      </c>
      <c r="P477" s="41" t="s">
        <v>1</v>
      </c>
      <c r="Q477" s="41" t="str">
        <f>VLOOKUP(Table1[[#This Row],[Eelarvekonto]],Table5[[Konto]:[Kontode alanimetus]],5,FALSE)</f>
        <v>Tööjõukulud</v>
      </c>
      <c r="R477" s="42" t="str">
        <f>VLOOKUP(Table1[[#This Row],[Tegevusala kood]],Table4[[Tegevusala kood]:[Tegevusala alanimetus]],4,FALSE)</f>
        <v>Alusharidus</v>
      </c>
      <c r="S477" s="60"/>
      <c r="T477" s="53"/>
      <c r="U477" s="53">
        <f>Table1[[#This Row],[Summa]]+Table1[[#This Row],[I Muudatus]]+Table1[[#This Row],[II Muudatus]]</f>
        <v>9096</v>
      </c>
    </row>
    <row r="478" spans="1:21" ht="14.25" hidden="1" customHeight="1" x14ac:dyDescent="0.25">
      <c r="A478" s="41" t="s">
        <v>160</v>
      </c>
      <c r="B478" s="41">
        <v>5261.76</v>
      </c>
      <c r="C478" s="52">
        <v>5521</v>
      </c>
      <c r="D478" s="52" t="str">
        <f>LEFT(Table1[[#This Row],[Eelarvekonto]],2)</f>
        <v>55</v>
      </c>
      <c r="E478" s="41" t="str">
        <f>VLOOKUP(Table1[[#This Row],[Eelarvekonto]],Table5[[Konto]:[Konto nimetus]],2,FALSE)</f>
        <v>Toiduained ja toitlustusteenused</v>
      </c>
      <c r="F478" s="41" t="s">
        <v>139</v>
      </c>
      <c r="G478" s="41" t="s">
        <v>24</v>
      </c>
      <c r="J478" s="41" t="s">
        <v>264</v>
      </c>
      <c r="K478" s="41" t="s">
        <v>263</v>
      </c>
      <c r="L478" s="58" t="s">
        <v>278</v>
      </c>
      <c r="M478" s="58" t="str">
        <f>LEFT(Table1[[#This Row],[Tegevusala kood]],2)</f>
        <v>09</v>
      </c>
      <c r="N478" s="41" t="str">
        <f>VLOOKUP(Table1[[#This Row],[Tegevusala kood]],Table4[[Tegevusala kood]:[Tegevusala alanimetus]],2,FALSE)</f>
        <v>Roela Lasteaed</v>
      </c>
      <c r="O478" s="41" t="s">
        <v>1</v>
      </c>
      <c r="P478" s="41" t="s">
        <v>1</v>
      </c>
      <c r="Q478" s="41" t="str">
        <f>VLOOKUP(Table1[[#This Row],[Eelarvekonto]],Table5[[Konto]:[Kontode alanimetus]],5,FALSE)</f>
        <v>Majandamiskulud</v>
      </c>
      <c r="R478" s="42" t="str">
        <f>VLOOKUP(Table1[[#This Row],[Tegevusala kood]],Table4[[Tegevusala kood]:[Tegevusala alanimetus]],4,FALSE)</f>
        <v>Alusharidus</v>
      </c>
      <c r="S478" s="53"/>
      <c r="T478" s="53"/>
      <c r="U478" s="53">
        <f>Table1[[#This Row],[Summa]]+Table1[[#This Row],[I Muudatus]]+Table1[[#This Row],[II Muudatus]]</f>
        <v>5261.76</v>
      </c>
    </row>
    <row r="479" spans="1:21" ht="14.25" hidden="1" customHeight="1" x14ac:dyDescent="0.25">
      <c r="A479" s="41" t="s">
        <v>307</v>
      </c>
      <c r="B479" s="41">
        <v>333</v>
      </c>
      <c r="C479" s="52">
        <v>5514</v>
      </c>
      <c r="D479" s="52" t="str">
        <f>LEFT(Table1[[#This Row],[Eelarvekonto]],2)</f>
        <v>55</v>
      </c>
      <c r="E479" s="41" t="str">
        <f>VLOOKUP(Table1[[#This Row],[Eelarvekonto]],Table5[[Konto]:[Konto nimetus]],2,FALSE)</f>
        <v>Info- ja kommunikatsioonitehnoloogia kulud</v>
      </c>
      <c r="F479" s="41" t="s">
        <v>139</v>
      </c>
      <c r="G479" s="41" t="s">
        <v>24</v>
      </c>
      <c r="J479" s="41" t="s">
        <v>264</v>
      </c>
      <c r="K479" s="41" t="s">
        <v>263</v>
      </c>
      <c r="L479" s="58" t="s">
        <v>278</v>
      </c>
      <c r="M479" s="58" t="str">
        <f>LEFT(Table1[[#This Row],[Tegevusala kood]],2)</f>
        <v>09</v>
      </c>
      <c r="N479" s="41" t="str">
        <f>VLOOKUP(Table1[[#This Row],[Tegevusala kood]],Table4[[Tegevusala kood]:[Tegevusala alanimetus]],2,FALSE)</f>
        <v>Roela Lasteaed</v>
      </c>
      <c r="O479" s="41" t="s">
        <v>1</v>
      </c>
      <c r="P479" s="41" t="s">
        <v>1</v>
      </c>
      <c r="Q479" s="41" t="str">
        <f>VLOOKUP(Table1[[#This Row],[Eelarvekonto]],Table5[[Konto]:[Kontode alanimetus]],5,FALSE)</f>
        <v>Majandamiskulud</v>
      </c>
      <c r="R479" s="42" t="str">
        <f>VLOOKUP(Table1[[#This Row],[Tegevusala kood]],Table4[[Tegevusala kood]:[Tegevusala alanimetus]],4,FALSE)</f>
        <v>Alusharidus</v>
      </c>
      <c r="S479" s="53"/>
      <c r="T479" s="53"/>
      <c r="U479" s="53">
        <f>Table1[[#This Row],[Summa]]+Table1[[#This Row],[I Muudatus]]+Table1[[#This Row],[II Muudatus]]</f>
        <v>333</v>
      </c>
    </row>
    <row r="480" spans="1:21" ht="14.25" hidden="1" customHeight="1" x14ac:dyDescent="0.25">
      <c r="A480" s="41" t="s">
        <v>642</v>
      </c>
      <c r="B480" s="41">
        <v>2520</v>
      </c>
      <c r="C480" s="52">
        <v>4130</v>
      </c>
      <c r="D480" s="52" t="str">
        <f>LEFT(Table1[[#This Row],[Eelarvekonto]],2)</f>
        <v>41</v>
      </c>
      <c r="E480" s="41" t="str">
        <f>VLOOKUP(Table1[[#This Row],[Eelarvekonto]],Table5[[Konto]:[Konto nimetus]],2,FALSE)</f>
        <v>Peretoetused</v>
      </c>
      <c r="F480" s="41" t="s">
        <v>139</v>
      </c>
      <c r="G480" s="41" t="s">
        <v>24</v>
      </c>
      <c r="J480" s="41" t="s">
        <v>365</v>
      </c>
      <c r="K480" s="41" t="s">
        <v>364</v>
      </c>
      <c r="L480" s="58" t="s">
        <v>641</v>
      </c>
      <c r="M480" s="58" t="str">
        <f>LEFT(Table1[[#This Row],[Tegevusala kood]],2)</f>
        <v>10</v>
      </c>
      <c r="N480" s="41" t="str">
        <f>VLOOKUP(Table1[[#This Row],[Tegevusala kood]],Table4[[Tegevusala kood]:[Tegevusala alanimetus]],2,FALSE)</f>
        <v>Ravitoetused perekondadele, lastele</v>
      </c>
      <c r="O480" s="41" t="s">
        <v>1</v>
      </c>
      <c r="P480" s="41" t="s">
        <v>1</v>
      </c>
      <c r="Q480" s="41" t="str">
        <f>VLOOKUP(Table1[[#This Row],[Eelarvekonto]],Table5[[Konto]:[Kontode alanimetus]],5,FALSE)</f>
        <v>Sotsiaalabitoetused ja muud toetused füüsilistele isikutele</v>
      </c>
      <c r="R480" s="42" t="str">
        <f>VLOOKUP(Table1[[#This Row],[Tegevusala kood]],Table4[[Tegevusala kood]:[Tegevusala alanimetus]],4,FALSE)</f>
        <v>Muu perekondade ja laste sotsiaalne kaitse</v>
      </c>
      <c r="S480" s="53"/>
      <c r="T480" s="53"/>
      <c r="U480" s="53">
        <f>Table1[[#This Row],[Summa]]+Table1[[#This Row],[I Muudatus]]+Table1[[#This Row],[II Muudatus]]</f>
        <v>2520</v>
      </c>
    </row>
    <row r="481" spans="1:21" ht="14.25" hidden="1" customHeight="1" x14ac:dyDescent="0.25">
      <c r="A481" s="41" t="s">
        <v>1086</v>
      </c>
      <c r="B481" s="41">
        <v>2880</v>
      </c>
      <c r="C481" s="52">
        <v>4138</v>
      </c>
      <c r="D481" s="52" t="str">
        <f>LEFT(Table1[[#This Row],[Eelarvekonto]],2)</f>
        <v>41</v>
      </c>
      <c r="E481" s="41" t="str">
        <f>VLOOKUP(Table1[[#This Row],[Eelarvekonto]],Table5[[Konto]:[Konto nimetus]],2,FALSE)</f>
        <v>Muud sotsiaalabitoetused</v>
      </c>
      <c r="F481" s="41" t="s">
        <v>139</v>
      </c>
      <c r="G481" s="41" t="s">
        <v>24</v>
      </c>
      <c r="J481" s="41" t="s">
        <v>365</v>
      </c>
      <c r="K481" s="41" t="s">
        <v>364</v>
      </c>
      <c r="L481" s="58" t="s">
        <v>648</v>
      </c>
      <c r="M481" s="58" t="str">
        <f>LEFT(Table1[[#This Row],[Tegevusala kood]],2)</f>
        <v>10</v>
      </c>
      <c r="N481" s="41" t="str">
        <f>VLOOKUP(Table1[[#This Row],[Tegevusala kood]],Table4[[Tegevusala kood]:[Tegevusala alanimetus]],2,FALSE)</f>
        <v>Juubeli toetused</v>
      </c>
      <c r="O481" s="41" t="s">
        <v>1</v>
      </c>
      <c r="P481" s="41" t="s">
        <v>1</v>
      </c>
      <c r="Q481" s="41" t="str">
        <f>VLOOKUP(Table1[[#This Row],[Eelarvekonto]],Table5[[Konto]:[Kontode alanimetus]],5,FALSE)</f>
        <v>Sotsiaalabitoetused ja muud toetused füüsilistele isikutele</v>
      </c>
      <c r="R481" s="42" t="str">
        <f>VLOOKUP(Table1[[#This Row],[Tegevusala kood]],Table4[[Tegevusala kood]:[Tegevusala alanimetus]],4,FALSE)</f>
        <v>Muu eakate sotsiaalne kaitse</v>
      </c>
      <c r="S481" s="53"/>
      <c r="T481" s="53"/>
      <c r="U481" s="53">
        <f>Table1[[#This Row],[Summa]]+Table1[[#This Row],[I Muudatus]]+Table1[[#This Row],[II Muudatus]]</f>
        <v>2880</v>
      </c>
    </row>
    <row r="482" spans="1:21" ht="14.25" hidden="1" customHeight="1" x14ac:dyDescent="0.25">
      <c r="A482" s="41" t="s">
        <v>1087</v>
      </c>
      <c r="B482" s="41">
        <v>500</v>
      </c>
      <c r="C482" s="52">
        <v>4138</v>
      </c>
      <c r="D482" s="52" t="str">
        <f>LEFT(Table1[[#This Row],[Eelarvekonto]],2)</f>
        <v>41</v>
      </c>
      <c r="E482" s="41" t="str">
        <f>VLOOKUP(Table1[[#This Row],[Eelarvekonto]],Table5[[Konto]:[Konto nimetus]],2,FALSE)</f>
        <v>Muud sotsiaalabitoetused</v>
      </c>
      <c r="F482" s="41" t="s">
        <v>139</v>
      </c>
      <c r="G482" s="41" t="s">
        <v>24</v>
      </c>
      <c r="J482" s="41" t="s">
        <v>365</v>
      </c>
      <c r="K482" s="41" t="s">
        <v>364</v>
      </c>
      <c r="L482" s="58" t="s">
        <v>648</v>
      </c>
      <c r="M482" s="58" t="str">
        <f>LEFT(Table1[[#This Row],[Tegevusala kood]],2)</f>
        <v>10</v>
      </c>
      <c r="N482" s="41" t="str">
        <f>VLOOKUP(Table1[[#This Row],[Tegevusala kood]],Table4[[Tegevusala kood]:[Tegevusala alanimetus]],2,FALSE)</f>
        <v>Juubeli toetused</v>
      </c>
      <c r="O482" s="41" t="s">
        <v>1</v>
      </c>
      <c r="P482" s="41" t="s">
        <v>1</v>
      </c>
      <c r="Q482" s="41" t="str">
        <f>VLOOKUP(Table1[[#This Row],[Eelarvekonto]],Table5[[Konto]:[Kontode alanimetus]],5,FALSE)</f>
        <v>Sotsiaalabitoetused ja muud toetused füüsilistele isikutele</v>
      </c>
      <c r="R482" s="42" t="str">
        <f>VLOOKUP(Table1[[#This Row],[Tegevusala kood]],Table4[[Tegevusala kood]:[Tegevusala alanimetus]],4,FALSE)</f>
        <v>Muu eakate sotsiaalne kaitse</v>
      </c>
      <c r="S482" s="53"/>
      <c r="T482" s="53"/>
      <c r="U482" s="53">
        <f>Table1[[#This Row],[Summa]]+Table1[[#This Row],[I Muudatus]]+Table1[[#This Row],[II Muudatus]]</f>
        <v>500</v>
      </c>
    </row>
    <row r="483" spans="1:21" ht="14.25" hidden="1" customHeight="1" x14ac:dyDescent="0.25">
      <c r="A483" s="41" t="s">
        <v>1088</v>
      </c>
      <c r="B483" s="41">
        <v>8900</v>
      </c>
      <c r="C483" s="52">
        <v>4138</v>
      </c>
      <c r="D483" s="52" t="str">
        <f>LEFT(Table1[[#This Row],[Eelarvekonto]],2)</f>
        <v>41</v>
      </c>
      <c r="E483" s="41" t="str">
        <f>VLOOKUP(Table1[[#This Row],[Eelarvekonto]],Table5[[Konto]:[Konto nimetus]],2,FALSE)</f>
        <v>Muud sotsiaalabitoetused</v>
      </c>
      <c r="F483" s="41" t="s">
        <v>139</v>
      </c>
      <c r="G483" s="41" t="s">
        <v>24</v>
      </c>
      <c r="J483" s="41" t="s">
        <v>365</v>
      </c>
      <c r="K483" s="41" t="s">
        <v>364</v>
      </c>
      <c r="L483" s="58" t="s">
        <v>648</v>
      </c>
      <c r="M483" s="58" t="str">
        <f>LEFT(Table1[[#This Row],[Tegevusala kood]],2)</f>
        <v>10</v>
      </c>
      <c r="N483" s="41" t="str">
        <f>VLOOKUP(Table1[[#This Row],[Tegevusala kood]],Table4[[Tegevusala kood]:[Tegevusala alanimetus]],2,FALSE)</f>
        <v>Juubeli toetused</v>
      </c>
      <c r="O483" s="41" t="s">
        <v>1</v>
      </c>
      <c r="P483" s="41" t="s">
        <v>1</v>
      </c>
      <c r="Q483" s="41" t="str">
        <f>VLOOKUP(Table1[[#This Row],[Eelarvekonto]],Table5[[Konto]:[Kontode alanimetus]],5,FALSE)</f>
        <v>Sotsiaalabitoetused ja muud toetused füüsilistele isikutele</v>
      </c>
      <c r="R483" s="42" t="str">
        <f>VLOOKUP(Table1[[#This Row],[Tegevusala kood]],Table4[[Tegevusala kood]:[Tegevusala alanimetus]],4,FALSE)</f>
        <v>Muu eakate sotsiaalne kaitse</v>
      </c>
      <c r="S483" s="53"/>
      <c r="T483" s="53"/>
      <c r="U483" s="53">
        <f>Table1[[#This Row],[Summa]]+Table1[[#This Row],[I Muudatus]]+Table1[[#This Row],[II Muudatus]]</f>
        <v>8900</v>
      </c>
    </row>
    <row r="484" spans="1:21" ht="14.25" hidden="1" customHeight="1" x14ac:dyDescent="0.25">
      <c r="A484" s="41" t="s">
        <v>1089</v>
      </c>
      <c r="B484" s="41">
        <v>400</v>
      </c>
      <c r="C484" s="52">
        <v>4138</v>
      </c>
      <c r="D484" s="52" t="str">
        <f>LEFT(Table1[[#This Row],[Eelarvekonto]],2)</f>
        <v>41</v>
      </c>
      <c r="E484" s="41" t="str">
        <f>VLOOKUP(Table1[[#This Row],[Eelarvekonto]],Table5[[Konto]:[Konto nimetus]],2,FALSE)</f>
        <v>Muud sotsiaalabitoetused</v>
      </c>
      <c r="F484" s="41" t="s">
        <v>139</v>
      </c>
      <c r="G484" s="41" t="s">
        <v>24</v>
      </c>
      <c r="J484" s="41" t="s">
        <v>365</v>
      </c>
      <c r="K484" s="41" t="s">
        <v>364</v>
      </c>
      <c r="L484" s="58" t="s">
        <v>648</v>
      </c>
      <c r="M484" s="58" t="str">
        <f>LEFT(Table1[[#This Row],[Tegevusala kood]],2)</f>
        <v>10</v>
      </c>
      <c r="N484" s="41" t="str">
        <f>VLOOKUP(Table1[[#This Row],[Tegevusala kood]],Table4[[Tegevusala kood]:[Tegevusala alanimetus]],2,FALSE)</f>
        <v>Juubeli toetused</v>
      </c>
      <c r="O484" s="41" t="s">
        <v>1</v>
      </c>
      <c r="P484" s="41" t="s">
        <v>1</v>
      </c>
      <c r="Q484" s="41" t="str">
        <f>VLOOKUP(Table1[[#This Row],[Eelarvekonto]],Table5[[Konto]:[Kontode alanimetus]],5,FALSE)</f>
        <v>Sotsiaalabitoetused ja muud toetused füüsilistele isikutele</v>
      </c>
      <c r="R484" s="42" t="str">
        <f>VLOOKUP(Table1[[#This Row],[Tegevusala kood]],Table4[[Tegevusala kood]:[Tegevusala alanimetus]],4,FALSE)</f>
        <v>Muu eakate sotsiaalne kaitse</v>
      </c>
      <c r="S484" s="53"/>
      <c r="T484" s="53"/>
      <c r="U484" s="53">
        <f>Table1[[#This Row],[Summa]]+Table1[[#This Row],[I Muudatus]]+Table1[[#This Row],[II Muudatus]]</f>
        <v>400</v>
      </c>
    </row>
    <row r="485" spans="1:21" ht="14.25" hidden="1" customHeight="1" x14ac:dyDescent="0.25">
      <c r="A485" s="41" t="s">
        <v>1090</v>
      </c>
      <c r="B485" s="41">
        <v>8000</v>
      </c>
      <c r="C485" s="52">
        <v>4138</v>
      </c>
      <c r="D485" s="52" t="str">
        <f>LEFT(Table1[[#This Row],[Eelarvekonto]],2)</f>
        <v>41</v>
      </c>
      <c r="E485" s="41" t="str">
        <f>VLOOKUP(Table1[[#This Row],[Eelarvekonto]],Table5[[Konto]:[Konto nimetus]],2,FALSE)</f>
        <v>Muud sotsiaalabitoetused</v>
      </c>
      <c r="F485" s="41" t="s">
        <v>139</v>
      </c>
      <c r="G485" s="41" t="s">
        <v>24</v>
      </c>
      <c r="J485" s="41" t="s">
        <v>365</v>
      </c>
      <c r="K485" s="41" t="s">
        <v>364</v>
      </c>
      <c r="L485" s="58" t="s">
        <v>388</v>
      </c>
      <c r="M485" s="58" t="str">
        <f>LEFT(Table1[[#This Row],[Tegevusala kood]],2)</f>
        <v>10</v>
      </c>
      <c r="N485" s="41" t="str">
        <f>VLOOKUP(Table1[[#This Row],[Tegevusala kood]],Table4[[Tegevusala kood]:[Tegevusala alanimetus]],2,FALSE)</f>
        <v>Eakate toetused</v>
      </c>
      <c r="O485" s="41" t="s">
        <v>1</v>
      </c>
      <c r="P485" s="41" t="s">
        <v>1</v>
      </c>
      <c r="Q485" s="41" t="str">
        <f>VLOOKUP(Table1[[#This Row],[Eelarvekonto]],Table5[[Konto]:[Kontode alanimetus]],5,FALSE)</f>
        <v>Sotsiaalabitoetused ja muud toetused füüsilistele isikutele</v>
      </c>
      <c r="R485" s="42" t="str">
        <f>VLOOKUP(Table1[[#This Row],[Tegevusala kood]],Table4[[Tegevusala kood]:[Tegevusala alanimetus]],4,FALSE)</f>
        <v>Muu eakate sotsiaalne kaitse</v>
      </c>
      <c r="S485" s="53"/>
      <c r="T485" s="53"/>
      <c r="U485" s="53">
        <f>Table1[[#This Row],[Summa]]+Table1[[#This Row],[I Muudatus]]+Table1[[#This Row],[II Muudatus]]</f>
        <v>8000</v>
      </c>
    </row>
    <row r="486" spans="1:21" ht="14.25" hidden="1" customHeight="1" x14ac:dyDescent="0.25">
      <c r="A486" s="41" t="s">
        <v>389</v>
      </c>
      <c r="B486" s="41">
        <v>13200</v>
      </c>
      <c r="C486" s="52">
        <v>4138</v>
      </c>
      <c r="D486" s="52" t="str">
        <f>LEFT(Table1[[#This Row],[Eelarvekonto]],2)</f>
        <v>41</v>
      </c>
      <c r="E486" s="41" t="str">
        <f>VLOOKUP(Table1[[#This Row],[Eelarvekonto]],Table5[[Konto]:[Konto nimetus]],2,FALSE)</f>
        <v>Muud sotsiaalabitoetused</v>
      </c>
      <c r="F486" s="41" t="s">
        <v>139</v>
      </c>
      <c r="G486" s="41" t="s">
        <v>24</v>
      </c>
      <c r="J486" s="41" t="s">
        <v>365</v>
      </c>
      <c r="K486" s="41" t="s">
        <v>364</v>
      </c>
      <c r="L486" s="58" t="s">
        <v>388</v>
      </c>
      <c r="M486" s="58" t="str">
        <f>LEFT(Table1[[#This Row],[Tegevusala kood]],2)</f>
        <v>10</v>
      </c>
      <c r="N486" s="41" t="str">
        <f>VLOOKUP(Table1[[#This Row],[Tegevusala kood]],Table4[[Tegevusala kood]:[Tegevusala alanimetus]],2,FALSE)</f>
        <v>Eakate toetused</v>
      </c>
      <c r="O486" s="41" t="s">
        <v>1</v>
      </c>
      <c r="P486" s="41" t="s">
        <v>1</v>
      </c>
      <c r="Q486" s="41" t="str">
        <f>VLOOKUP(Table1[[#This Row],[Eelarvekonto]],Table5[[Konto]:[Kontode alanimetus]],5,FALSE)</f>
        <v>Sotsiaalabitoetused ja muud toetused füüsilistele isikutele</v>
      </c>
      <c r="R486" s="42" t="str">
        <f>VLOOKUP(Table1[[#This Row],[Tegevusala kood]],Table4[[Tegevusala kood]:[Tegevusala alanimetus]],4,FALSE)</f>
        <v>Muu eakate sotsiaalne kaitse</v>
      </c>
      <c r="S486" s="53"/>
      <c r="T486" s="53"/>
      <c r="U486" s="53">
        <f>Table1[[#This Row],[Summa]]+Table1[[#This Row],[I Muudatus]]+Table1[[#This Row],[II Muudatus]]</f>
        <v>13200</v>
      </c>
    </row>
    <row r="487" spans="1:21" ht="14.25" hidden="1" customHeight="1" x14ac:dyDescent="0.25">
      <c r="A487" s="41" t="s">
        <v>658</v>
      </c>
      <c r="B487" s="41">
        <v>17000</v>
      </c>
      <c r="C487" s="52">
        <v>4133</v>
      </c>
      <c r="D487" s="52" t="str">
        <f>LEFT(Table1[[#This Row],[Eelarvekonto]],2)</f>
        <v>41</v>
      </c>
      <c r="E487" s="41" t="str">
        <f>VLOOKUP(Table1[[#This Row],[Eelarvekonto]],Table5[[Konto]:[Konto nimetus]],2,FALSE)</f>
        <v>Toetused puudega inimestele ja nende hooldajatele</v>
      </c>
      <c r="F487" s="41" t="s">
        <v>139</v>
      </c>
      <c r="G487" s="41" t="s">
        <v>24</v>
      </c>
      <c r="J487" s="41" t="s">
        <v>365</v>
      </c>
      <c r="K487" s="41" t="s">
        <v>364</v>
      </c>
      <c r="L487" s="58" t="s">
        <v>657</v>
      </c>
      <c r="M487" s="58" t="str">
        <f>LEFT(Table1[[#This Row],[Tegevusala kood]],2)</f>
        <v>10</v>
      </c>
      <c r="N487" s="41" t="str">
        <f>VLOOKUP(Table1[[#This Row],[Tegevusala kood]],Table4[[Tegevusala kood]:[Tegevusala alanimetus]],2,FALSE)</f>
        <v>Hooldajatoetused</v>
      </c>
      <c r="O487" s="41" t="s">
        <v>1</v>
      </c>
      <c r="P487" s="41" t="s">
        <v>1</v>
      </c>
      <c r="Q487" s="41" t="str">
        <f>VLOOKUP(Table1[[#This Row],[Eelarvekonto]],Table5[[Konto]:[Kontode alanimetus]],5,FALSE)</f>
        <v>Sotsiaalabitoetused ja muud toetused füüsilistele isikutele</v>
      </c>
      <c r="R487" s="42" t="str">
        <f>VLOOKUP(Table1[[#This Row],[Tegevusala kood]],Table4[[Tegevusala kood]:[Tegevusala alanimetus]],4,FALSE)</f>
        <v>Muu puuetega inimeste sotsiaalne kaitse</v>
      </c>
      <c r="S487" s="53"/>
      <c r="T487" s="53"/>
      <c r="U487" s="53">
        <f>Table1[[#This Row],[Summa]]+Table1[[#This Row],[I Muudatus]]+Table1[[#This Row],[II Muudatus]]</f>
        <v>17000</v>
      </c>
    </row>
    <row r="488" spans="1:21" ht="14.25" hidden="1" customHeight="1" x14ac:dyDescent="0.25">
      <c r="A488" s="41" t="s">
        <v>393</v>
      </c>
      <c r="B488" s="41">
        <v>1200</v>
      </c>
      <c r="C488" s="52">
        <v>5526</v>
      </c>
      <c r="D488" s="52" t="str">
        <f>LEFT(Table1[[#This Row],[Eelarvekonto]],2)</f>
        <v>55</v>
      </c>
      <c r="E488" s="41" t="str">
        <f>VLOOKUP(Table1[[#This Row],[Eelarvekonto]],Table5[[Konto]:[Konto nimetus]],2,FALSE)</f>
        <v>Sotsiaalteenused</v>
      </c>
      <c r="F488" s="41" t="s">
        <v>139</v>
      </c>
      <c r="G488" s="41" t="s">
        <v>24</v>
      </c>
      <c r="J488" s="41" t="s">
        <v>365</v>
      </c>
      <c r="K488" s="41" t="s">
        <v>364</v>
      </c>
      <c r="L488" s="58" t="s">
        <v>392</v>
      </c>
      <c r="M488" s="58" t="str">
        <f>LEFT(Table1[[#This Row],[Tegevusala kood]],2)</f>
        <v>10</v>
      </c>
      <c r="N488" s="41" t="str">
        <f>VLOOKUP(Table1[[#This Row],[Tegevusala kood]],Table4[[Tegevusala kood]:[Tegevusala alanimetus]],2,FALSE)</f>
        <v>Erivajadustega inimeste tugiteenus</v>
      </c>
      <c r="O488" s="41" t="s">
        <v>1</v>
      </c>
      <c r="P488" s="41" t="s">
        <v>1</v>
      </c>
      <c r="Q488" s="41" t="str">
        <f>VLOOKUP(Table1[[#This Row],[Eelarvekonto]],Table5[[Konto]:[Kontode alanimetus]],5,FALSE)</f>
        <v>Majandamiskulud</v>
      </c>
      <c r="R488" s="42" t="str">
        <f>VLOOKUP(Table1[[#This Row],[Tegevusala kood]],Table4[[Tegevusala kood]:[Tegevusala alanimetus]],4,FALSE)</f>
        <v>Muu puuetega inimeste sotsiaalne kaitse</v>
      </c>
      <c r="S488" s="53"/>
      <c r="T488" s="53"/>
      <c r="U488" s="53">
        <f>Table1[[#This Row],[Summa]]+Table1[[#This Row],[I Muudatus]]+Table1[[#This Row],[II Muudatus]]</f>
        <v>1200</v>
      </c>
    </row>
    <row r="489" spans="1:21" ht="14.25" hidden="1" customHeight="1" x14ac:dyDescent="0.25">
      <c r="A489" s="41" t="s">
        <v>668</v>
      </c>
      <c r="B489" s="41">
        <v>65000</v>
      </c>
      <c r="C489" s="52">
        <v>4137</v>
      </c>
      <c r="D489" s="52" t="str">
        <f>LEFT(Table1[[#This Row],[Eelarvekonto]],2)</f>
        <v>41</v>
      </c>
      <c r="E489" s="41" t="str">
        <f>VLOOKUP(Table1[[#This Row],[Eelarvekonto]],Table5[[Konto]:[Konto nimetus]],2,FALSE)</f>
        <v>Erijuhtudel riigi poolt makstavad maksud</v>
      </c>
      <c r="F489" s="41" t="s">
        <v>139</v>
      </c>
      <c r="G489" s="41" t="s">
        <v>24</v>
      </c>
      <c r="J489" s="41" t="s">
        <v>365</v>
      </c>
      <c r="K489" s="41" t="s">
        <v>364</v>
      </c>
      <c r="L489" s="58" t="s">
        <v>666</v>
      </c>
      <c r="M489" s="58" t="str">
        <f>LEFT(Table1[[#This Row],[Tegevusala kood]],2)</f>
        <v>10</v>
      </c>
      <c r="N489" s="41" t="str">
        <f>VLOOKUP(Table1[[#This Row],[Tegevusala kood]],Table4[[Tegevusala kood]:[Tegevusala alanimetus]],2,FALSE)</f>
        <v>Hooldajad</v>
      </c>
      <c r="O489" s="41" t="s">
        <v>1</v>
      </c>
      <c r="P489" s="41" t="s">
        <v>1</v>
      </c>
      <c r="Q489" s="41" t="str">
        <f>VLOOKUP(Table1[[#This Row],[Eelarvekonto]],Table5[[Konto]:[Kontode alanimetus]],5,FALSE)</f>
        <v>Sotsiaalabitoetused ja muud toetused füüsilistele isikutele</v>
      </c>
      <c r="R489" s="42" t="str">
        <f>VLOOKUP(Table1[[#This Row],[Tegevusala kood]],Table4[[Tegevusala kood]:[Tegevusala alanimetus]],4,FALSE)</f>
        <v>Muu puuetega inimeste sotsiaalne kaitse</v>
      </c>
      <c r="S489" s="53"/>
      <c r="T489" s="53"/>
      <c r="U489" s="53">
        <f>Table1[[#This Row],[Summa]]+Table1[[#This Row],[I Muudatus]]+Table1[[#This Row],[II Muudatus]]</f>
        <v>65000</v>
      </c>
    </row>
    <row r="490" spans="1:21" ht="14.25" hidden="1" customHeight="1" x14ac:dyDescent="0.25">
      <c r="A490" s="41" t="s">
        <v>667</v>
      </c>
      <c r="B490" s="41">
        <v>140000</v>
      </c>
      <c r="C490" s="52">
        <v>4133</v>
      </c>
      <c r="D490" s="52" t="str">
        <f>LEFT(Table1[[#This Row],[Eelarvekonto]],2)</f>
        <v>41</v>
      </c>
      <c r="E490" s="41" t="str">
        <f>VLOOKUP(Table1[[#This Row],[Eelarvekonto]],Table5[[Konto]:[Konto nimetus]],2,FALSE)</f>
        <v>Toetused puudega inimestele ja nende hooldajatele</v>
      </c>
      <c r="F490" s="41" t="s">
        <v>139</v>
      </c>
      <c r="G490" s="41" t="s">
        <v>24</v>
      </c>
      <c r="J490" s="41" t="s">
        <v>365</v>
      </c>
      <c r="K490" s="41" t="s">
        <v>364</v>
      </c>
      <c r="L490" s="58" t="s">
        <v>666</v>
      </c>
      <c r="M490" s="58" t="str">
        <f>LEFT(Table1[[#This Row],[Tegevusala kood]],2)</f>
        <v>10</v>
      </c>
      <c r="N490" s="41" t="str">
        <f>VLOOKUP(Table1[[#This Row],[Tegevusala kood]],Table4[[Tegevusala kood]:[Tegevusala alanimetus]],2,FALSE)</f>
        <v>Hooldajad</v>
      </c>
      <c r="O490" s="41" t="s">
        <v>1</v>
      </c>
      <c r="P490" s="41" t="s">
        <v>1</v>
      </c>
      <c r="Q490" s="41" t="str">
        <f>VLOOKUP(Table1[[#This Row],[Eelarvekonto]],Table5[[Konto]:[Kontode alanimetus]],5,FALSE)</f>
        <v>Sotsiaalabitoetused ja muud toetused füüsilistele isikutele</v>
      </c>
      <c r="R490" s="42" t="str">
        <f>VLOOKUP(Table1[[#This Row],[Tegevusala kood]],Table4[[Tegevusala kood]:[Tegevusala alanimetus]],4,FALSE)</f>
        <v>Muu puuetega inimeste sotsiaalne kaitse</v>
      </c>
      <c r="S490" s="53"/>
      <c r="T490" s="53"/>
      <c r="U490" s="53">
        <f>Table1[[#This Row],[Summa]]+Table1[[#This Row],[I Muudatus]]+Table1[[#This Row],[II Muudatus]]</f>
        <v>140000</v>
      </c>
    </row>
    <row r="491" spans="1:21" ht="14.25" hidden="1" customHeight="1" x14ac:dyDescent="0.25">
      <c r="A491" s="41" t="s">
        <v>399</v>
      </c>
      <c r="B491" s="41">
        <v>47000</v>
      </c>
      <c r="C491" s="52">
        <v>41334</v>
      </c>
      <c r="D491" s="52" t="str">
        <f>LEFT(Table1[[#This Row],[Eelarvekonto]],2)</f>
        <v>41</v>
      </c>
      <c r="E491" s="41" t="str">
        <f>VLOOKUP(Table1[[#This Row],[Eelarvekonto]],Table5[[Konto]:[Konto nimetus]],2,FALSE)</f>
        <v>Toetused puudega inimestele ja nende hooldajatele - transport</v>
      </c>
      <c r="F491" s="41" t="s">
        <v>139</v>
      </c>
      <c r="G491" s="41" t="s">
        <v>24</v>
      </c>
      <c r="J491" s="41" t="s">
        <v>365</v>
      </c>
      <c r="K491" s="41" t="s">
        <v>364</v>
      </c>
      <c r="L491" s="58" t="s">
        <v>398</v>
      </c>
      <c r="M491" s="58" t="str">
        <f>LEFT(Table1[[#This Row],[Tegevusala kood]],2)</f>
        <v>10</v>
      </c>
      <c r="N491" s="41" t="str">
        <f>VLOOKUP(Table1[[#This Row],[Tegevusala kood]],Table4[[Tegevusala kood]:[Tegevusala alanimetus]],2,FALSE)</f>
        <v>Puuetega inimeste transport</v>
      </c>
      <c r="O491" s="41" t="s">
        <v>1</v>
      </c>
      <c r="P491" s="41" t="s">
        <v>1</v>
      </c>
      <c r="Q491" s="41" t="str">
        <f>VLOOKUP(Table1[[#This Row],[Eelarvekonto]],Table5[[Konto]:[Kontode alanimetus]],5,FALSE)</f>
        <v>Sotsiaalabitoetused ja muud toetused füüsilistele isikutele</v>
      </c>
      <c r="R491" s="42" t="str">
        <f>VLOOKUP(Table1[[#This Row],[Tegevusala kood]],Table4[[Tegevusala kood]:[Tegevusala alanimetus]],4,FALSE)</f>
        <v>Muu puuetega inimeste sotsiaalne kaitse</v>
      </c>
      <c r="S491" s="53"/>
      <c r="T491" s="53"/>
      <c r="U491" s="53">
        <f>Table1[[#This Row],[Summa]]+Table1[[#This Row],[I Muudatus]]+Table1[[#This Row],[II Muudatus]]</f>
        <v>47000</v>
      </c>
    </row>
    <row r="492" spans="1:21" ht="14.25" hidden="1" customHeight="1" x14ac:dyDescent="0.25">
      <c r="A492" s="41" t="s">
        <v>669</v>
      </c>
      <c r="B492" s="41">
        <v>5940</v>
      </c>
      <c r="C492" s="52">
        <v>4133</v>
      </c>
      <c r="D492" s="52" t="str">
        <f>LEFT(Table1[[#This Row],[Eelarvekonto]],2)</f>
        <v>41</v>
      </c>
      <c r="E492" s="41" t="str">
        <f>VLOOKUP(Table1[[#This Row],[Eelarvekonto]],Table5[[Konto]:[Konto nimetus]],2,FALSE)</f>
        <v>Toetused puudega inimestele ja nende hooldajatele</v>
      </c>
      <c r="F492" s="41" t="s">
        <v>139</v>
      </c>
      <c r="G492" s="41" t="s">
        <v>24</v>
      </c>
      <c r="J492" s="41" t="s">
        <v>365</v>
      </c>
      <c r="K492" s="41" t="s">
        <v>364</v>
      </c>
      <c r="L492" s="58" t="s">
        <v>670</v>
      </c>
      <c r="M492" s="58" t="str">
        <f>LEFT(Table1[[#This Row],[Tegevusala kood]],2)</f>
        <v>10</v>
      </c>
      <c r="N492" s="41" t="str">
        <f>VLOOKUP(Table1[[#This Row],[Tegevusala kood]],Table4[[Tegevusala kood]:[Tegevusala alanimetus]],2,FALSE)</f>
        <v>Ravitoetused puuetega inimestele</v>
      </c>
      <c r="O492" s="41" t="s">
        <v>1</v>
      </c>
      <c r="P492" s="41" t="s">
        <v>1</v>
      </c>
      <c r="Q492" s="41" t="str">
        <f>VLOOKUP(Table1[[#This Row],[Eelarvekonto]],Table5[[Konto]:[Kontode alanimetus]],5,FALSE)</f>
        <v>Sotsiaalabitoetused ja muud toetused füüsilistele isikutele</v>
      </c>
      <c r="R492" s="42" t="str">
        <f>VLOOKUP(Table1[[#This Row],[Tegevusala kood]],Table4[[Tegevusala kood]:[Tegevusala alanimetus]],4,FALSE)</f>
        <v>Muu puuetega inimeste sotsiaalne kaitse</v>
      </c>
      <c r="S492" s="53"/>
      <c r="T492" s="53"/>
      <c r="U492" s="53">
        <f>Table1[[#This Row],[Summa]]+Table1[[#This Row],[I Muudatus]]+Table1[[#This Row],[II Muudatus]]</f>
        <v>5940</v>
      </c>
    </row>
    <row r="493" spans="1:21" ht="14.25" hidden="1" customHeight="1" x14ac:dyDescent="0.25">
      <c r="A493" s="41" t="s">
        <v>1091</v>
      </c>
      <c r="B493" s="41">
        <v>12500</v>
      </c>
      <c r="C493" s="52">
        <v>4500</v>
      </c>
      <c r="D493" s="52" t="str">
        <f>LEFT(Table1[[#This Row],[Eelarvekonto]],2)</f>
        <v>45</v>
      </c>
      <c r="E493" s="41" t="str">
        <f>VLOOKUP(Table1[[#This Row],[Eelarvekonto]],Table5[[Konto]:[Konto nimetus]],2,FALSE)</f>
        <v>Antud sihtfinantseerimine tegevuskuludeks</v>
      </c>
      <c r="F493" s="41" t="s">
        <v>139</v>
      </c>
      <c r="G493" s="41" t="s">
        <v>24</v>
      </c>
      <c r="J493" s="41" t="s">
        <v>365</v>
      </c>
      <c r="K493" s="41" t="s">
        <v>364</v>
      </c>
      <c r="L493" s="58" t="s">
        <v>400</v>
      </c>
      <c r="M493" s="58" t="str">
        <f>LEFT(Table1[[#This Row],[Tegevusala kood]],2)</f>
        <v>10</v>
      </c>
      <c r="N493" s="41" t="str">
        <f>VLOOKUP(Table1[[#This Row],[Tegevusala kood]],Table4[[Tegevusala kood]:[Tegevusala alanimetus]],2,FALSE)</f>
        <v>Puuetega inimeste sotsiaalhoolekandeasutused</v>
      </c>
      <c r="O493" s="41" t="s">
        <v>1</v>
      </c>
      <c r="P493" s="41" t="s">
        <v>1</v>
      </c>
      <c r="Q493" s="41" t="str">
        <f>VLOOKUP(Table1[[#This Row],[Eelarvekonto]],Table5[[Konto]:[Kontode alanimetus]],5,FALSE)</f>
        <v>Sihtotstarbelised toetused tegevuskuludeks</v>
      </c>
      <c r="R493" s="42" t="str">
        <f>VLOOKUP(Table1[[#This Row],[Tegevusala kood]],Table4[[Tegevusala kood]:[Tegevusala alanimetus]],4,FALSE)</f>
        <v>Puuetega inimeste sotsiaalhoolekandeasutused</v>
      </c>
      <c r="S493" s="53"/>
      <c r="T493" s="53"/>
      <c r="U493" s="53">
        <f>Table1[[#This Row],[Summa]]+Table1[[#This Row],[I Muudatus]]+Table1[[#This Row],[II Muudatus]]</f>
        <v>12500</v>
      </c>
    </row>
    <row r="494" spans="1:21" ht="14.25" hidden="1" customHeight="1" x14ac:dyDescent="0.25">
      <c r="A494" s="41" t="s">
        <v>141</v>
      </c>
      <c r="B494" s="41">
        <v>1000</v>
      </c>
      <c r="C494" s="52">
        <v>5525</v>
      </c>
      <c r="D494" s="52" t="str">
        <f>LEFT(Table1[[#This Row],[Eelarvekonto]],2)</f>
        <v>55</v>
      </c>
      <c r="E494" s="41" t="str">
        <f>VLOOKUP(Table1[[#This Row],[Eelarvekonto]],Table5[[Konto]:[Konto nimetus]],2,FALSE)</f>
        <v>Kommunikatsiooni-, kultuuri- ja vaba aja sisustamise kulud</v>
      </c>
      <c r="F494" s="41" t="s">
        <v>139</v>
      </c>
      <c r="G494" s="41" t="s">
        <v>24</v>
      </c>
      <c r="J494" s="41" t="s">
        <v>139</v>
      </c>
      <c r="K494" s="41" t="s">
        <v>54</v>
      </c>
      <c r="L494" s="58" t="s">
        <v>741</v>
      </c>
      <c r="M494" s="58" t="str">
        <f>LEFT(Table1[[#This Row],[Tegevusala kood]],2)</f>
        <v>08</v>
      </c>
      <c r="N494" s="41" t="str">
        <f>VLOOKUP(Table1[[#This Row],[Tegevusala kood]],Table4[[Tegevusala kood]:[Tegevusala alanimetus]],2,FALSE)</f>
        <v>Vilde kirjanduspreemia</v>
      </c>
      <c r="O494" s="41" t="s">
        <v>1</v>
      </c>
      <c r="P494" s="41" t="s">
        <v>1</v>
      </c>
      <c r="Q494" s="41" t="str">
        <f>VLOOKUP(Table1[[#This Row],[Eelarvekonto]],Table5[[Konto]:[Kontode alanimetus]],5,FALSE)</f>
        <v>Majandamiskulud</v>
      </c>
      <c r="R494" s="42" t="str">
        <f>VLOOKUP(Table1[[#This Row],[Tegevusala kood]],Table4[[Tegevusala kood]:[Tegevusala alanimetus]],4,FALSE)</f>
        <v>Vaba aja üritused</v>
      </c>
      <c r="S494" s="53"/>
      <c r="T494" s="53"/>
      <c r="U494" s="53">
        <f>Table1[[#This Row],[Summa]]+Table1[[#This Row],[I Muudatus]]+Table1[[#This Row],[II Muudatus]]</f>
        <v>1000</v>
      </c>
    </row>
    <row r="495" spans="1:21" ht="14.25" hidden="1" customHeight="1" x14ac:dyDescent="0.25">
      <c r="A495" s="41" t="s">
        <v>580</v>
      </c>
      <c r="B495" s="41">
        <v>2500</v>
      </c>
      <c r="C495" s="52">
        <v>5008</v>
      </c>
      <c r="D495" s="52" t="str">
        <f>LEFT(Table1[[#This Row],[Eelarvekonto]],2)</f>
        <v>50</v>
      </c>
      <c r="E495" s="41" t="str">
        <f>VLOOKUP(Table1[[#This Row],[Eelarvekonto]],Table5[[Konto]:[Konto nimetus]],2,FALSE)</f>
        <v>Muude isikute töötasud</v>
      </c>
      <c r="F495" s="41" t="s">
        <v>139</v>
      </c>
      <c r="G495" s="41" t="s">
        <v>24</v>
      </c>
      <c r="J495" s="41" t="s">
        <v>139</v>
      </c>
      <c r="K495" s="41" t="s">
        <v>54</v>
      </c>
      <c r="L495" s="58" t="s">
        <v>741</v>
      </c>
      <c r="M495" s="58" t="str">
        <f>LEFT(Table1[[#This Row],[Tegevusala kood]],2)</f>
        <v>08</v>
      </c>
      <c r="N495" s="41" t="str">
        <f>VLOOKUP(Table1[[#This Row],[Tegevusala kood]],Table4[[Tegevusala kood]:[Tegevusala alanimetus]],2,FALSE)</f>
        <v>Vilde kirjanduspreemia</v>
      </c>
      <c r="O495" s="41" t="s">
        <v>1</v>
      </c>
      <c r="P495" s="41" t="s">
        <v>1</v>
      </c>
      <c r="Q495" s="41" t="str">
        <f>VLOOKUP(Table1[[#This Row],[Eelarvekonto]],Table5[[Konto]:[Kontode alanimetus]],5,FALSE)</f>
        <v>Tööjõukulud</v>
      </c>
      <c r="R495" s="42" t="str">
        <f>VLOOKUP(Table1[[#This Row],[Tegevusala kood]],Table4[[Tegevusala kood]:[Tegevusala alanimetus]],4,FALSE)</f>
        <v>Vaba aja üritused</v>
      </c>
      <c r="S495" s="53"/>
      <c r="T495" s="53"/>
      <c r="U495" s="53">
        <f>Table1[[#This Row],[Summa]]+Table1[[#This Row],[I Muudatus]]+Table1[[#This Row],[II Muudatus]]</f>
        <v>2500</v>
      </c>
    </row>
    <row r="496" spans="1:21" ht="14.25" hidden="1" customHeight="1" x14ac:dyDescent="0.25">
      <c r="A496" s="41" t="s">
        <v>457</v>
      </c>
      <c r="B496" s="41">
        <v>704</v>
      </c>
      <c r="C496" s="52">
        <v>5513081</v>
      </c>
      <c r="D496" s="52" t="str">
        <f>LEFT(Table1[[#This Row],[Eelarvekonto]],2)</f>
        <v>55</v>
      </c>
      <c r="E496" s="41" t="str">
        <f>VLOOKUP(Table1[[#This Row],[Eelarvekonto]],Table5[[Konto]:[Konto nimetus]],2,FALSE)</f>
        <v>Isikliku sõiduauto kompensatsioon</v>
      </c>
      <c r="F496" s="41" t="s">
        <v>139</v>
      </c>
      <c r="G496" s="41" t="s">
        <v>24</v>
      </c>
      <c r="J496" s="41" t="s">
        <v>138</v>
      </c>
      <c r="K496" s="41" t="s">
        <v>136</v>
      </c>
      <c r="L496" s="58" t="s">
        <v>137</v>
      </c>
      <c r="M496" s="58" t="str">
        <f>LEFT(Table1[[#This Row],[Tegevusala kood]],2)</f>
        <v>10</v>
      </c>
      <c r="N496" s="41" t="str">
        <f>VLOOKUP(Table1[[#This Row],[Tegevusala kood]],Table4[[Tegevusala kood]:[Tegevusala alanimetus]],2,FALSE)</f>
        <v>Vinni päevakeskus</v>
      </c>
      <c r="O496" s="41" t="s">
        <v>1</v>
      </c>
      <c r="P496" s="41" t="s">
        <v>1</v>
      </c>
      <c r="Q496" s="41" t="str">
        <f>VLOOKUP(Table1[[#This Row],[Eelarvekonto]],Table5[[Konto]:[Kontode alanimetus]],5,FALSE)</f>
        <v>Majandamiskulud</v>
      </c>
      <c r="R496" s="42" t="str">
        <f>VLOOKUP(Table1[[#This Row],[Tegevusala kood]],Table4[[Tegevusala kood]:[Tegevusala alanimetus]],4,FALSE)</f>
        <v>Eakate sotsiaalhoolekande asutused</v>
      </c>
      <c r="S496" s="53"/>
      <c r="T496" s="53"/>
      <c r="U496" s="53">
        <f>Table1[[#This Row],[Summa]]+Table1[[#This Row],[I Muudatus]]+Table1[[#This Row],[II Muudatus]]</f>
        <v>704</v>
      </c>
    </row>
    <row r="497" spans="1:21" ht="14.25" hidden="1" customHeight="1" x14ac:dyDescent="0.25">
      <c r="A497" s="41" t="s">
        <v>456</v>
      </c>
      <c r="B497" s="41">
        <v>7848</v>
      </c>
      <c r="C497" s="52">
        <v>5002</v>
      </c>
      <c r="D497" s="52" t="str">
        <f>LEFT(Table1[[#This Row],[Eelarvekonto]],2)</f>
        <v>50</v>
      </c>
      <c r="E497" s="41" t="str">
        <f>VLOOKUP(Table1[[#This Row],[Eelarvekonto]],Table5[[Konto]:[Konto nimetus]],2,FALSE)</f>
        <v>Töötajate töötasud</v>
      </c>
      <c r="F497" s="41" t="s">
        <v>139</v>
      </c>
      <c r="G497" s="41" t="s">
        <v>24</v>
      </c>
      <c r="J497" s="41" t="s">
        <v>138</v>
      </c>
      <c r="K497" s="41" t="s">
        <v>136</v>
      </c>
      <c r="L497" s="58" t="s">
        <v>137</v>
      </c>
      <c r="M497" s="58" t="str">
        <f>LEFT(Table1[[#This Row],[Tegevusala kood]],2)</f>
        <v>10</v>
      </c>
      <c r="N497" s="41" t="str">
        <f>VLOOKUP(Table1[[#This Row],[Tegevusala kood]],Table4[[Tegevusala kood]:[Tegevusala alanimetus]],2,FALSE)</f>
        <v>Vinni päevakeskus</v>
      </c>
      <c r="O497" s="41" t="s">
        <v>1</v>
      </c>
      <c r="P497" s="41" t="s">
        <v>1</v>
      </c>
      <c r="Q497" s="41" t="str">
        <f>VLOOKUP(Table1[[#This Row],[Eelarvekonto]],Table5[[Konto]:[Kontode alanimetus]],5,FALSE)</f>
        <v>Tööjõukulud</v>
      </c>
      <c r="R497" s="42" t="str">
        <f>VLOOKUP(Table1[[#This Row],[Tegevusala kood]],Table4[[Tegevusala kood]:[Tegevusala alanimetus]],4,FALSE)</f>
        <v>Eakate sotsiaalhoolekande asutused</v>
      </c>
      <c r="S497" s="53"/>
      <c r="T497" s="53"/>
      <c r="U497" s="53">
        <f>Table1[[#This Row],[Summa]]+Table1[[#This Row],[I Muudatus]]+Table1[[#This Row],[II Muudatus]]</f>
        <v>7848</v>
      </c>
    </row>
    <row r="498" spans="1:21" ht="14.25" hidden="1" customHeight="1" x14ac:dyDescent="0.25">
      <c r="A498" s="41" t="s">
        <v>158</v>
      </c>
      <c r="B498" s="41">
        <v>2652.62</v>
      </c>
      <c r="C498" s="52">
        <v>506</v>
      </c>
      <c r="D498" s="52" t="str">
        <f>LEFT(Table1[[#This Row],[Eelarvekonto]],2)</f>
        <v>50</v>
      </c>
      <c r="E498" s="41" t="str">
        <f>VLOOKUP(Table1[[#This Row],[Eelarvekonto]],Table5[[Konto]:[Konto nimetus]],2,FALSE)</f>
        <v>Tööjõukuludega kaasnevad maksud ja sotsiaalkindlustusmaksed</v>
      </c>
      <c r="F498" s="41" t="s">
        <v>139</v>
      </c>
      <c r="G498" s="41" t="s">
        <v>24</v>
      </c>
      <c r="J498" s="41" t="s">
        <v>138</v>
      </c>
      <c r="K498" s="41" t="s">
        <v>136</v>
      </c>
      <c r="L498" s="58" t="s">
        <v>137</v>
      </c>
      <c r="M498" s="58" t="str">
        <f>LEFT(Table1[[#This Row],[Tegevusala kood]],2)</f>
        <v>10</v>
      </c>
      <c r="N498" s="41" t="str">
        <f>VLOOKUP(Table1[[#This Row],[Tegevusala kood]],Table4[[Tegevusala kood]:[Tegevusala alanimetus]],2,FALSE)</f>
        <v>Vinni päevakeskus</v>
      </c>
      <c r="O498" s="41" t="s">
        <v>1</v>
      </c>
      <c r="P498" s="41" t="s">
        <v>1</v>
      </c>
      <c r="Q498" s="41" t="str">
        <f>VLOOKUP(Table1[[#This Row],[Eelarvekonto]],Table5[[Konto]:[Kontode alanimetus]],5,FALSE)</f>
        <v>Tööjõukulud</v>
      </c>
      <c r="R498" s="42" t="str">
        <f>VLOOKUP(Table1[[#This Row],[Tegevusala kood]],Table4[[Tegevusala kood]:[Tegevusala alanimetus]],4,FALSE)</f>
        <v>Eakate sotsiaalhoolekande asutused</v>
      </c>
      <c r="S498" s="53"/>
      <c r="T498" s="53"/>
      <c r="U498" s="53">
        <f>Table1[[#This Row],[Summa]]+Table1[[#This Row],[I Muudatus]]+Table1[[#This Row],[II Muudatus]]</f>
        <v>2652.62</v>
      </c>
    </row>
    <row r="499" spans="1:21" ht="14.25" hidden="1" customHeight="1" x14ac:dyDescent="0.25">
      <c r="A499" s="41" t="s">
        <v>417</v>
      </c>
      <c r="B499" s="64">
        <v>120000</v>
      </c>
      <c r="C499" s="52">
        <v>4500</v>
      </c>
      <c r="D499" s="52" t="str">
        <f>LEFT(Table1[[#This Row],[Eelarvekonto]],2)</f>
        <v>45</v>
      </c>
      <c r="E499" s="41" t="str">
        <f>VLOOKUP(Table1[[#This Row],[Eelarvekonto]],Table5[[Konto]:[Konto nimetus]],2,FALSE)</f>
        <v>Antud sihtfinantseerimine tegevuskuludeks</v>
      </c>
      <c r="F499" s="41" t="s">
        <v>139</v>
      </c>
      <c r="G499" s="41" t="s">
        <v>24</v>
      </c>
      <c r="J499" s="41" t="s">
        <v>477</v>
      </c>
      <c r="K499" s="41" t="s">
        <v>475</v>
      </c>
      <c r="L499" s="58" t="s">
        <v>476</v>
      </c>
      <c r="M499" s="58" t="str">
        <f>LEFT(Table1[[#This Row],[Tegevusala kood]],2)</f>
        <v>08</v>
      </c>
      <c r="N499" s="41" t="str">
        <f>VLOOKUP(Table1[[#This Row],[Tegevusala kood]],Table4[[Tegevusala kood]:[Tegevusala alanimetus]],2,FALSE)</f>
        <v>Vinni Spordikompleks</v>
      </c>
      <c r="Q499" s="41" t="str">
        <f>VLOOKUP(Table1[[#This Row],[Eelarvekonto]],Table5[[Konto]:[Kontode alanimetus]],5,FALSE)</f>
        <v>Sihtotstarbelised toetused tegevuskuludeks</v>
      </c>
      <c r="R499" s="42" t="str">
        <f>VLOOKUP(Table1[[#This Row],[Tegevusala kood]],Table4[[Tegevusala kood]:[Tegevusala alanimetus]],4,FALSE)</f>
        <v>Sport</v>
      </c>
      <c r="S499" s="53"/>
      <c r="T499" s="53"/>
      <c r="U499" s="53">
        <f>Table1[[#This Row],[Summa]]+Table1[[#This Row],[I Muudatus]]+Table1[[#This Row],[II Muudatus]]</f>
        <v>120000</v>
      </c>
    </row>
    <row r="500" spans="1:21" ht="14.25" hidden="1" customHeight="1" x14ac:dyDescent="0.25">
      <c r="A500" s="41" t="s">
        <v>1015</v>
      </c>
      <c r="B500" s="64">
        <v>5881.2</v>
      </c>
      <c r="C500" s="52">
        <v>5521</v>
      </c>
      <c r="D500" s="52" t="str">
        <f>LEFT(Table1[[#This Row],[Eelarvekonto]],2)</f>
        <v>55</v>
      </c>
      <c r="E500" s="41" t="str">
        <f>VLOOKUP(Table1[[#This Row],[Eelarvekonto]],Table5[[Konto]:[Konto nimetus]],2,FALSE)</f>
        <v>Toiduained ja toitlustusteenused</v>
      </c>
      <c r="F500" s="41" t="s">
        <v>139</v>
      </c>
      <c r="G500" s="41" t="s">
        <v>24</v>
      </c>
      <c r="J500" s="41" t="s">
        <v>283</v>
      </c>
      <c r="K500" s="41" t="s">
        <v>281</v>
      </c>
      <c r="L500" s="58" t="s">
        <v>282</v>
      </c>
      <c r="M500" s="58" t="str">
        <f>LEFT(Table1[[#This Row],[Tegevusala kood]],2)</f>
        <v>09</v>
      </c>
      <c r="N500" s="41" t="str">
        <f>VLOOKUP(Table1[[#This Row],[Tegevusala kood]],Table4[[Tegevusala kood]:[Tegevusala alanimetus]],2,FALSE)</f>
        <v>Pajusti Lasteaed Ulvis</v>
      </c>
      <c r="Q500" s="41" t="str">
        <f>VLOOKUP(Table1[[#This Row],[Eelarvekonto]],Table5[[Konto]:[Kontode alanimetus]],5,FALSE)</f>
        <v>Majandamiskulud</v>
      </c>
      <c r="R500" s="42" t="str">
        <f>VLOOKUP(Table1[[#This Row],[Tegevusala kood]],Table4[[Tegevusala kood]:[Tegevusala alanimetus]],4,FALSE)</f>
        <v>Alusharidus</v>
      </c>
      <c r="S500" s="53"/>
      <c r="T500" s="53"/>
      <c r="U500" s="53">
        <f>Table1[[#This Row],[Summa]]+Table1[[#This Row],[I Muudatus]]+Table1[[#This Row],[II Muudatus]]</f>
        <v>5881.2</v>
      </c>
    </row>
    <row r="501" spans="1:21" ht="14.25" hidden="1" customHeight="1" x14ac:dyDescent="0.25">
      <c r="A501" s="41" t="s">
        <v>529</v>
      </c>
      <c r="B501" s="41">
        <v>15120</v>
      </c>
      <c r="C501" s="52">
        <v>5002</v>
      </c>
      <c r="D501" s="52" t="str">
        <f>LEFT(Table1[[#This Row],[Eelarvekonto]],2)</f>
        <v>50</v>
      </c>
      <c r="E501" s="41" t="str">
        <f>VLOOKUP(Table1[[#This Row],[Eelarvekonto]],Table5[[Konto]:[Konto nimetus]],2,FALSE)</f>
        <v>Töötajate töötasud</v>
      </c>
      <c r="F501" s="41" t="s">
        <v>139</v>
      </c>
      <c r="G501" s="41" t="s">
        <v>24</v>
      </c>
      <c r="J501" s="41" t="s">
        <v>283</v>
      </c>
      <c r="K501" s="41" t="s">
        <v>281</v>
      </c>
      <c r="L501" s="58" t="s">
        <v>282</v>
      </c>
      <c r="M501" s="58" t="str">
        <f>LEFT(Table1[[#This Row],[Tegevusala kood]],2)</f>
        <v>09</v>
      </c>
      <c r="N501" s="41" t="str">
        <f>VLOOKUP(Table1[[#This Row],[Tegevusala kood]],Table4[[Tegevusala kood]:[Tegevusala alanimetus]],2,FALSE)</f>
        <v>Pajusti Lasteaed Ulvis</v>
      </c>
      <c r="O501" s="41" t="s">
        <v>1</v>
      </c>
      <c r="P501" s="41" t="s">
        <v>1</v>
      </c>
      <c r="Q501" s="41" t="str">
        <f>VLOOKUP(Table1[[#This Row],[Eelarvekonto]],Table5[[Konto]:[Kontode alanimetus]],5,FALSE)</f>
        <v>Tööjõukulud</v>
      </c>
      <c r="R501" s="42" t="str">
        <f>VLOOKUP(Table1[[#This Row],[Tegevusala kood]],Table4[[Tegevusala kood]:[Tegevusala alanimetus]],4,FALSE)</f>
        <v>Alusharidus</v>
      </c>
      <c r="S501" s="60"/>
      <c r="T501" s="53"/>
      <c r="U501" s="53">
        <f>Table1[[#This Row],[Summa]]+Table1[[#This Row],[I Muudatus]]+Table1[[#This Row],[II Muudatus]]</f>
        <v>15120</v>
      </c>
    </row>
    <row r="502" spans="1:21" ht="14.25" hidden="1" customHeight="1" x14ac:dyDescent="0.25">
      <c r="A502" s="41" t="s">
        <v>158</v>
      </c>
      <c r="B502" s="41">
        <v>26805.43</v>
      </c>
      <c r="C502" s="52">
        <v>506</v>
      </c>
      <c r="D502" s="52" t="str">
        <f>LEFT(Table1[[#This Row],[Eelarvekonto]],2)</f>
        <v>50</v>
      </c>
      <c r="E502" s="41" t="str">
        <f>VLOOKUP(Table1[[#This Row],[Eelarvekonto]],Table5[[Konto]:[Konto nimetus]],2,FALSE)</f>
        <v>Tööjõukuludega kaasnevad maksud ja sotsiaalkindlustusmaksed</v>
      </c>
      <c r="F502" s="41" t="s">
        <v>139</v>
      </c>
      <c r="G502" s="41" t="s">
        <v>24</v>
      </c>
      <c r="J502" s="41" t="s">
        <v>283</v>
      </c>
      <c r="K502" s="41" t="s">
        <v>281</v>
      </c>
      <c r="L502" s="58" t="s">
        <v>282</v>
      </c>
      <c r="M502" s="58" t="str">
        <f>LEFT(Table1[[#This Row],[Tegevusala kood]],2)</f>
        <v>09</v>
      </c>
      <c r="N502" s="41" t="str">
        <f>VLOOKUP(Table1[[#This Row],[Tegevusala kood]],Table4[[Tegevusala kood]:[Tegevusala alanimetus]],2,FALSE)</f>
        <v>Pajusti Lasteaed Ulvis</v>
      </c>
      <c r="O502" s="41" t="s">
        <v>1</v>
      </c>
      <c r="P502" s="41" t="s">
        <v>1</v>
      </c>
      <c r="Q502" s="41" t="str">
        <f>VLOOKUP(Table1[[#This Row],[Eelarvekonto]],Table5[[Konto]:[Kontode alanimetus]],5,FALSE)</f>
        <v>Tööjõukulud</v>
      </c>
      <c r="R502" s="42" t="str">
        <f>VLOOKUP(Table1[[#This Row],[Tegevusala kood]],Table4[[Tegevusala kood]:[Tegevusala alanimetus]],4,FALSE)</f>
        <v>Alusharidus</v>
      </c>
      <c r="S502" s="53"/>
      <c r="T502" s="53"/>
      <c r="U502" s="53">
        <f>Table1[[#This Row],[Summa]]+Table1[[#This Row],[I Muudatus]]+Table1[[#This Row],[II Muudatus]]</f>
        <v>26805.43</v>
      </c>
    </row>
    <row r="503" spans="1:21" ht="14.25" hidden="1" customHeight="1" x14ac:dyDescent="0.25">
      <c r="A503" s="41" t="s">
        <v>528</v>
      </c>
      <c r="B503" s="41">
        <v>61008</v>
      </c>
      <c r="C503" s="52">
        <v>5002</v>
      </c>
      <c r="D503" s="52" t="str">
        <f>LEFT(Table1[[#This Row],[Eelarvekonto]],2)</f>
        <v>50</v>
      </c>
      <c r="E503" s="41" t="str">
        <f>VLOOKUP(Table1[[#This Row],[Eelarvekonto]],Table5[[Konto]:[Konto nimetus]],2,FALSE)</f>
        <v>Töötajate töötasud</v>
      </c>
      <c r="F503" s="41" t="s">
        <v>139</v>
      </c>
      <c r="G503" s="41" t="s">
        <v>24</v>
      </c>
      <c r="J503" s="41" t="s">
        <v>283</v>
      </c>
      <c r="K503" s="41" t="s">
        <v>281</v>
      </c>
      <c r="L503" s="58" t="s">
        <v>282</v>
      </c>
      <c r="M503" s="58" t="str">
        <f>LEFT(Table1[[#This Row],[Tegevusala kood]],2)</f>
        <v>09</v>
      </c>
      <c r="N503" s="41" t="str">
        <f>VLOOKUP(Table1[[#This Row],[Tegevusala kood]],Table4[[Tegevusala kood]:[Tegevusala alanimetus]],2,FALSE)</f>
        <v>Pajusti Lasteaed Ulvis</v>
      </c>
      <c r="O503" s="41" t="s">
        <v>1</v>
      </c>
      <c r="P503" s="41" t="s">
        <v>1</v>
      </c>
      <c r="Q503" s="41" t="str">
        <f>VLOOKUP(Table1[[#This Row],[Eelarvekonto]],Table5[[Konto]:[Kontode alanimetus]],5,FALSE)</f>
        <v>Tööjõukulud</v>
      </c>
      <c r="R503" s="42" t="str">
        <f>VLOOKUP(Table1[[#This Row],[Tegevusala kood]],Table4[[Tegevusala kood]:[Tegevusala alanimetus]],4,FALSE)</f>
        <v>Alusharidus</v>
      </c>
      <c r="S503" s="53"/>
      <c r="T503" s="53"/>
      <c r="U503" s="53">
        <f>Table1[[#This Row],[Summa]]+Table1[[#This Row],[I Muudatus]]+Table1[[#This Row],[II Muudatus]]</f>
        <v>61008</v>
      </c>
    </row>
    <row r="504" spans="1:21" ht="14.25" hidden="1" customHeight="1" x14ac:dyDescent="0.25">
      <c r="A504" s="41" t="s">
        <v>479</v>
      </c>
      <c r="B504" s="41">
        <v>1600</v>
      </c>
      <c r="C504" s="52">
        <v>551102</v>
      </c>
      <c r="D504" s="52" t="str">
        <f>LEFT(Table1[[#This Row],[Eelarvekonto]],2)</f>
        <v>55</v>
      </c>
      <c r="E504" s="41" t="str">
        <f>VLOOKUP(Table1[[#This Row],[Eelarvekonto]],Table5[[Konto]:[Konto nimetus]],2,FALSE)</f>
        <v>Vesi ja kanalisatsioon</v>
      </c>
      <c r="F504" s="41" t="s">
        <v>139</v>
      </c>
      <c r="G504" s="41" t="s">
        <v>24</v>
      </c>
      <c r="J504" s="41" t="s">
        <v>283</v>
      </c>
      <c r="K504" s="41" t="s">
        <v>281</v>
      </c>
      <c r="L504" s="58" t="s">
        <v>282</v>
      </c>
      <c r="M504" s="58" t="str">
        <f>LEFT(Table1[[#This Row],[Tegevusala kood]],2)</f>
        <v>09</v>
      </c>
      <c r="N504" s="41" t="str">
        <f>VLOOKUP(Table1[[#This Row],[Tegevusala kood]],Table4[[Tegevusala kood]:[Tegevusala alanimetus]],2,FALSE)</f>
        <v>Pajusti Lasteaed Ulvis</v>
      </c>
      <c r="O504" s="41" t="s">
        <v>1</v>
      </c>
      <c r="P504" s="41" t="s">
        <v>1</v>
      </c>
      <c r="Q504" s="41" t="str">
        <f>VLOOKUP(Table1[[#This Row],[Eelarvekonto]],Table5[[Konto]:[Kontode alanimetus]],5,FALSE)</f>
        <v>Majandamiskulud</v>
      </c>
      <c r="R504" s="42" t="str">
        <f>VLOOKUP(Table1[[#This Row],[Tegevusala kood]],Table4[[Tegevusala kood]:[Tegevusala alanimetus]],4,FALSE)</f>
        <v>Alusharidus</v>
      </c>
      <c r="S504" s="53"/>
      <c r="T504" s="53"/>
      <c r="U504" s="53">
        <f>Table1[[#This Row],[Summa]]+Table1[[#This Row],[I Muudatus]]+Table1[[#This Row],[II Muudatus]]</f>
        <v>1600</v>
      </c>
    </row>
    <row r="505" spans="1:21" ht="14.25" hidden="1" customHeight="1" x14ac:dyDescent="0.25">
      <c r="A505" s="41" t="s">
        <v>149</v>
      </c>
      <c r="B505" s="41">
        <v>3500</v>
      </c>
      <c r="C505" s="52">
        <v>551101</v>
      </c>
      <c r="D505" s="52" t="str">
        <f>LEFT(Table1[[#This Row],[Eelarvekonto]],2)</f>
        <v>55</v>
      </c>
      <c r="E505" s="41" t="str">
        <f>VLOOKUP(Table1[[#This Row],[Eelarvekonto]],Table5[[Konto]:[Konto nimetus]],2,FALSE)</f>
        <v>Elekter</v>
      </c>
      <c r="F505" s="41" t="s">
        <v>139</v>
      </c>
      <c r="G505" s="41" t="s">
        <v>24</v>
      </c>
      <c r="J505" s="41" t="s">
        <v>283</v>
      </c>
      <c r="K505" s="41" t="s">
        <v>281</v>
      </c>
      <c r="L505" s="58" t="s">
        <v>282</v>
      </c>
      <c r="M505" s="58" t="str">
        <f>LEFT(Table1[[#This Row],[Tegevusala kood]],2)</f>
        <v>09</v>
      </c>
      <c r="N505" s="41" t="str">
        <f>VLOOKUP(Table1[[#This Row],[Tegevusala kood]],Table4[[Tegevusala kood]:[Tegevusala alanimetus]],2,FALSE)</f>
        <v>Pajusti Lasteaed Ulvis</v>
      </c>
      <c r="O505" s="41" t="s">
        <v>1</v>
      </c>
      <c r="P505" s="41" t="s">
        <v>1</v>
      </c>
      <c r="Q505" s="41" t="str">
        <f>VLOOKUP(Table1[[#This Row],[Eelarvekonto]],Table5[[Konto]:[Kontode alanimetus]],5,FALSE)</f>
        <v>Majandamiskulud</v>
      </c>
      <c r="R505" s="42" t="str">
        <f>VLOOKUP(Table1[[#This Row],[Tegevusala kood]],Table4[[Tegevusala kood]:[Tegevusala alanimetus]],4,FALSE)</f>
        <v>Alusharidus</v>
      </c>
      <c r="S505" s="53"/>
      <c r="T505" s="53"/>
      <c r="U505" s="53">
        <f>Table1[[#This Row],[Summa]]+Table1[[#This Row],[I Muudatus]]+Table1[[#This Row],[II Muudatus]]</f>
        <v>3500</v>
      </c>
    </row>
    <row r="506" spans="1:21" ht="14.25" hidden="1" customHeight="1" x14ac:dyDescent="0.25">
      <c r="A506" s="41" t="s">
        <v>555</v>
      </c>
      <c r="B506" s="41">
        <v>288</v>
      </c>
      <c r="C506" s="52">
        <v>5511</v>
      </c>
      <c r="D506" s="52" t="str">
        <f>LEFT(Table1[[#This Row],[Eelarvekonto]],2)</f>
        <v>55</v>
      </c>
      <c r="E506" s="41" t="str">
        <f>VLOOKUP(Table1[[#This Row],[Eelarvekonto]],Table5[[Konto]:[Konto nimetus]],2,FALSE)</f>
        <v>Kinnistute, hoonete ja ruumide majandamiskulud</v>
      </c>
      <c r="F506" s="41" t="s">
        <v>139</v>
      </c>
      <c r="G506" s="41" t="s">
        <v>24</v>
      </c>
      <c r="J506" s="41" t="s">
        <v>283</v>
      </c>
      <c r="K506" s="41" t="s">
        <v>281</v>
      </c>
      <c r="L506" s="58" t="s">
        <v>282</v>
      </c>
      <c r="M506" s="58" t="str">
        <f>LEFT(Table1[[#This Row],[Tegevusala kood]],2)</f>
        <v>09</v>
      </c>
      <c r="N506" s="41" t="str">
        <f>VLOOKUP(Table1[[#This Row],[Tegevusala kood]],Table4[[Tegevusala kood]:[Tegevusala alanimetus]],2,FALSE)</f>
        <v>Pajusti Lasteaed Ulvis</v>
      </c>
      <c r="O506" s="41" t="s">
        <v>1</v>
      </c>
      <c r="P506" s="41" t="s">
        <v>1</v>
      </c>
      <c r="Q506" s="41" t="str">
        <f>VLOOKUP(Table1[[#This Row],[Eelarvekonto]],Table5[[Konto]:[Kontode alanimetus]],5,FALSE)</f>
        <v>Majandamiskulud</v>
      </c>
      <c r="R506" s="42" t="str">
        <f>VLOOKUP(Table1[[#This Row],[Tegevusala kood]],Table4[[Tegevusala kood]:[Tegevusala alanimetus]],4,FALSE)</f>
        <v>Alusharidus</v>
      </c>
      <c r="S506" s="53"/>
      <c r="T506" s="53"/>
      <c r="U506" s="53">
        <f>Table1[[#This Row],[Summa]]+Table1[[#This Row],[I Muudatus]]+Table1[[#This Row],[II Muudatus]]</f>
        <v>288</v>
      </c>
    </row>
    <row r="507" spans="1:21" ht="14.25" hidden="1" customHeight="1" x14ac:dyDescent="0.25">
      <c r="A507" s="41" t="s">
        <v>503</v>
      </c>
      <c r="B507" s="41">
        <v>170.04</v>
      </c>
      <c r="C507" s="52">
        <v>5511</v>
      </c>
      <c r="D507" s="52" t="str">
        <f>LEFT(Table1[[#This Row],[Eelarvekonto]],2)</f>
        <v>55</v>
      </c>
      <c r="E507" s="41" t="str">
        <f>VLOOKUP(Table1[[#This Row],[Eelarvekonto]],Table5[[Konto]:[Konto nimetus]],2,FALSE)</f>
        <v>Kinnistute, hoonete ja ruumide majandamiskulud</v>
      </c>
      <c r="F507" s="41" t="s">
        <v>139</v>
      </c>
      <c r="G507" s="41" t="s">
        <v>24</v>
      </c>
      <c r="J507" s="41" t="s">
        <v>283</v>
      </c>
      <c r="K507" s="41" t="s">
        <v>281</v>
      </c>
      <c r="L507" s="58" t="s">
        <v>282</v>
      </c>
      <c r="M507" s="58" t="str">
        <f>LEFT(Table1[[#This Row],[Tegevusala kood]],2)</f>
        <v>09</v>
      </c>
      <c r="N507" s="41" t="str">
        <f>VLOOKUP(Table1[[#This Row],[Tegevusala kood]],Table4[[Tegevusala kood]:[Tegevusala alanimetus]],2,FALSE)</f>
        <v>Pajusti Lasteaed Ulvis</v>
      </c>
      <c r="O507" s="41" t="s">
        <v>1</v>
      </c>
      <c r="P507" s="41" t="s">
        <v>1</v>
      </c>
      <c r="Q507" s="41" t="str">
        <f>VLOOKUP(Table1[[#This Row],[Eelarvekonto]],Table5[[Konto]:[Kontode alanimetus]],5,FALSE)</f>
        <v>Majandamiskulud</v>
      </c>
      <c r="R507" s="42" t="str">
        <f>VLOOKUP(Table1[[#This Row],[Tegevusala kood]],Table4[[Tegevusala kood]:[Tegevusala alanimetus]],4,FALSE)</f>
        <v>Alusharidus</v>
      </c>
      <c r="S507" s="53"/>
      <c r="T507" s="53"/>
      <c r="U507" s="53">
        <f>Table1[[#This Row],[Summa]]+Table1[[#This Row],[I Muudatus]]+Table1[[#This Row],[II Muudatus]]</f>
        <v>170.04</v>
      </c>
    </row>
    <row r="508" spans="1:21" ht="14.25" hidden="1" customHeight="1" x14ac:dyDescent="0.25">
      <c r="A508" s="41" t="s">
        <v>159</v>
      </c>
      <c r="B508" s="41">
        <v>228</v>
      </c>
      <c r="C508" s="52">
        <v>5514</v>
      </c>
      <c r="D508" s="52" t="str">
        <f>LEFT(Table1[[#This Row],[Eelarvekonto]],2)</f>
        <v>55</v>
      </c>
      <c r="E508" s="41" t="str">
        <f>VLOOKUP(Table1[[#This Row],[Eelarvekonto]],Table5[[Konto]:[Konto nimetus]],2,FALSE)</f>
        <v>Info- ja kommunikatsioonitehnoloogia kulud</v>
      </c>
      <c r="F508" s="41" t="s">
        <v>139</v>
      </c>
      <c r="G508" s="41" t="s">
        <v>24</v>
      </c>
      <c r="J508" s="41" t="s">
        <v>283</v>
      </c>
      <c r="K508" s="41" t="s">
        <v>281</v>
      </c>
      <c r="L508" s="58" t="s">
        <v>282</v>
      </c>
      <c r="M508" s="58" t="str">
        <f>LEFT(Table1[[#This Row],[Tegevusala kood]],2)</f>
        <v>09</v>
      </c>
      <c r="N508" s="41" t="str">
        <f>VLOOKUP(Table1[[#This Row],[Tegevusala kood]],Table4[[Tegevusala kood]:[Tegevusala alanimetus]],2,FALSE)</f>
        <v>Pajusti Lasteaed Ulvis</v>
      </c>
      <c r="O508" s="41" t="s">
        <v>1</v>
      </c>
      <c r="P508" s="41" t="s">
        <v>1</v>
      </c>
      <c r="Q508" s="41" t="str">
        <f>VLOOKUP(Table1[[#This Row],[Eelarvekonto]],Table5[[Konto]:[Kontode alanimetus]],5,FALSE)</f>
        <v>Majandamiskulud</v>
      </c>
      <c r="R508" s="42" t="str">
        <f>VLOOKUP(Table1[[#This Row],[Tegevusala kood]],Table4[[Tegevusala kood]:[Tegevusala alanimetus]],4,FALSE)</f>
        <v>Alusharidus</v>
      </c>
      <c r="S508" s="53"/>
      <c r="T508" s="53"/>
      <c r="U508" s="53">
        <f>Table1[[#This Row],[Summa]]+Table1[[#This Row],[I Muudatus]]+Table1[[#This Row],[II Muudatus]]</f>
        <v>228</v>
      </c>
    </row>
    <row r="509" spans="1:21" ht="14.25" hidden="1" customHeight="1" x14ac:dyDescent="0.25">
      <c r="A509" s="41" t="s">
        <v>1092</v>
      </c>
      <c r="B509" s="41">
        <v>375</v>
      </c>
      <c r="C509" s="52">
        <v>4500</v>
      </c>
      <c r="D509" s="52" t="str">
        <f>LEFT(Table1[[#This Row],[Eelarvekonto]],2)</f>
        <v>45</v>
      </c>
      <c r="E509" s="41" t="str">
        <f>VLOOKUP(Table1[[#This Row],[Eelarvekonto]],Table5[[Konto]:[Konto nimetus]],2,FALSE)</f>
        <v>Antud sihtfinantseerimine tegevuskuludeks</v>
      </c>
      <c r="F509" s="41" t="s">
        <v>139</v>
      </c>
      <c r="G509" s="41" t="s">
        <v>24</v>
      </c>
      <c r="J509" s="41" t="s">
        <v>342</v>
      </c>
      <c r="K509" s="41" t="s">
        <v>341</v>
      </c>
      <c r="L509" s="58" t="s">
        <v>347</v>
      </c>
      <c r="M509" s="58" t="str">
        <f>LEFT(Table1[[#This Row],[Tegevusala kood]],2)</f>
        <v>09</v>
      </c>
      <c r="N509" s="41" t="str">
        <f>VLOOKUP(Table1[[#This Row],[Tegevusala kood]],Table4[[Tegevusala kood]:[Tegevusala alanimetus]],2,FALSE)</f>
        <v>Üritused</v>
      </c>
      <c r="O509" s="41" t="s">
        <v>1</v>
      </c>
      <c r="P509" s="41" t="s">
        <v>1</v>
      </c>
      <c r="Q509" s="41" t="str">
        <f>VLOOKUP(Table1[[#This Row],[Eelarvekonto]],Table5[[Konto]:[Kontode alanimetus]],5,FALSE)</f>
        <v>Sihtotstarbelised toetused tegevuskuludeks</v>
      </c>
      <c r="R509" s="42" t="str">
        <f>VLOOKUP(Table1[[#This Row],[Tegevusala kood]],Table4[[Tegevusala kood]:[Tegevusala alanimetus]],4,FALSE)</f>
        <v>Muu haridus, sh hariduse haldus</v>
      </c>
      <c r="S509" s="53"/>
      <c r="T509" s="53"/>
      <c r="U509" s="53">
        <f>Table1[[#This Row],[Summa]]+Table1[[#This Row],[I Muudatus]]+Table1[[#This Row],[II Muudatus]]</f>
        <v>375</v>
      </c>
    </row>
    <row r="510" spans="1:21" ht="14.25" hidden="1" customHeight="1" x14ac:dyDescent="0.25">
      <c r="A510" s="41" t="s">
        <v>1092</v>
      </c>
      <c r="B510" s="41">
        <v>350</v>
      </c>
      <c r="C510" s="52">
        <v>4500</v>
      </c>
      <c r="D510" s="52" t="str">
        <f>LEFT(Table1[[#This Row],[Eelarvekonto]],2)</f>
        <v>45</v>
      </c>
      <c r="E510" s="41" t="str">
        <f>VLOOKUP(Table1[[#This Row],[Eelarvekonto]],Table5[[Konto]:[Konto nimetus]],2,FALSE)</f>
        <v>Antud sihtfinantseerimine tegevuskuludeks</v>
      </c>
      <c r="F510" s="41" t="s">
        <v>139</v>
      </c>
      <c r="G510" s="41" t="s">
        <v>24</v>
      </c>
      <c r="J510" s="41" t="s">
        <v>342</v>
      </c>
      <c r="K510" s="41" t="s">
        <v>341</v>
      </c>
      <c r="L510" s="58" t="s">
        <v>347</v>
      </c>
      <c r="M510" s="58" t="str">
        <f>LEFT(Table1[[#This Row],[Tegevusala kood]],2)</f>
        <v>09</v>
      </c>
      <c r="N510" s="41" t="str">
        <f>VLOOKUP(Table1[[#This Row],[Tegevusala kood]],Table4[[Tegevusala kood]:[Tegevusala alanimetus]],2,FALSE)</f>
        <v>Üritused</v>
      </c>
      <c r="O510" s="41" t="s">
        <v>1</v>
      </c>
      <c r="P510" s="41" t="s">
        <v>1</v>
      </c>
      <c r="Q510" s="41" t="str">
        <f>VLOOKUP(Table1[[#This Row],[Eelarvekonto]],Table5[[Konto]:[Kontode alanimetus]],5,FALSE)</f>
        <v>Sihtotstarbelised toetused tegevuskuludeks</v>
      </c>
      <c r="R510" s="42" t="str">
        <f>VLOOKUP(Table1[[#This Row],[Tegevusala kood]],Table4[[Tegevusala kood]:[Tegevusala alanimetus]],4,FALSE)</f>
        <v>Muu haridus, sh hariduse haldus</v>
      </c>
      <c r="S510" s="53"/>
      <c r="T510" s="53"/>
      <c r="U510" s="53">
        <f>Table1[[#This Row],[Summa]]+Table1[[#This Row],[I Muudatus]]+Table1[[#This Row],[II Muudatus]]</f>
        <v>350</v>
      </c>
    </row>
    <row r="511" spans="1:21" ht="14.25" hidden="1" customHeight="1" x14ac:dyDescent="0.25">
      <c r="A511" s="41" t="s">
        <v>1092</v>
      </c>
      <c r="B511" s="41">
        <v>375</v>
      </c>
      <c r="C511" s="52">
        <v>4500</v>
      </c>
      <c r="D511" s="52" t="str">
        <f>LEFT(Table1[[#This Row],[Eelarvekonto]],2)</f>
        <v>45</v>
      </c>
      <c r="E511" s="41" t="str">
        <f>VLOOKUP(Table1[[#This Row],[Eelarvekonto]],Table5[[Konto]:[Konto nimetus]],2,FALSE)</f>
        <v>Antud sihtfinantseerimine tegevuskuludeks</v>
      </c>
      <c r="F511" s="41" t="s">
        <v>139</v>
      </c>
      <c r="G511" s="41" t="s">
        <v>24</v>
      </c>
      <c r="J511" s="41" t="s">
        <v>342</v>
      </c>
      <c r="K511" s="41" t="s">
        <v>341</v>
      </c>
      <c r="L511" s="58" t="s">
        <v>347</v>
      </c>
      <c r="M511" s="58" t="str">
        <f>LEFT(Table1[[#This Row],[Tegevusala kood]],2)</f>
        <v>09</v>
      </c>
      <c r="N511" s="41" t="str">
        <f>VLOOKUP(Table1[[#This Row],[Tegevusala kood]],Table4[[Tegevusala kood]:[Tegevusala alanimetus]],2,FALSE)</f>
        <v>Üritused</v>
      </c>
      <c r="O511" s="41" t="s">
        <v>1</v>
      </c>
      <c r="P511" s="41" t="s">
        <v>1</v>
      </c>
      <c r="Q511" s="41" t="str">
        <f>VLOOKUP(Table1[[#This Row],[Eelarvekonto]],Table5[[Konto]:[Kontode alanimetus]],5,FALSE)</f>
        <v>Sihtotstarbelised toetused tegevuskuludeks</v>
      </c>
      <c r="R511" s="42" t="str">
        <f>VLOOKUP(Table1[[#This Row],[Tegevusala kood]],Table4[[Tegevusala kood]:[Tegevusala alanimetus]],4,FALSE)</f>
        <v>Muu haridus, sh hariduse haldus</v>
      </c>
      <c r="S511" s="53"/>
      <c r="T511" s="53"/>
      <c r="U511" s="53">
        <f>Table1[[#This Row],[Summa]]+Table1[[#This Row],[I Muudatus]]+Table1[[#This Row],[II Muudatus]]</f>
        <v>375</v>
      </c>
    </row>
    <row r="512" spans="1:21" ht="14.25" hidden="1" customHeight="1" x14ac:dyDescent="0.25">
      <c r="A512" s="41" t="s">
        <v>424</v>
      </c>
      <c r="B512" s="41">
        <v>242660</v>
      </c>
      <c r="C512" s="52">
        <v>5512</v>
      </c>
      <c r="D512" s="52" t="str">
        <f>LEFT(Table1[[#This Row],[Eelarvekonto]],2)</f>
        <v>55</v>
      </c>
      <c r="E512" s="41" t="str">
        <f>VLOOKUP(Table1[[#This Row],[Eelarvekonto]],Table5[[Konto]:[Konto nimetus]],2,FALSE)</f>
        <v>Rajatiste majandamiskulud</v>
      </c>
      <c r="F512" s="41" t="s">
        <v>139</v>
      </c>
      <c r="G512" s="41" t="s">
        <v>24</v>
      </c>
      <c r="J512" s="41" t="s">
        <v>423</v>
      </c>
      <c r="K512" s="41" t="s">
        <v>422</v>
      </c>
      <c r="L512" s="58" t="s">
        <v>421</v>
      </c>
      <c r="M512" s="58" t="str">
        <f>LEFT(Table1[[#This Row],[Tegevusala kood]],2)</f>
        <v>04</v>
      </c>
      <c r="N512" s="41" t="str">
        <f>VLOOKUP(Table1[[#This Row],[Tegevusala kood]],Table4[[Tegevusala kood]:[Tegevusala alanimetus]],2,FALSE)</f>
        <v>Teede remont</v>
      </c>
      <c r="O512" s="41" t="s">
        <v>1</v>
      </c>
      <c r="P512" s="41" t="s">
        <v>1</v>
      </c>
      <c r="Q512" s="41" t="str">
        <f>VLOOKUP(Table1[[#This Row],[Eelarvekonto]],Table5[[Konto]:[Kontode alanimetus]],5,FALSE)</f>
        <v>Majandamiskulud</v>
      </c>
      <c r="R512" s="42" t="str">
        <f>VLOOKUP(Table1[[#This Row],[Tegevusala kood]],Table4[[Tegevusala kood]:[Tegevusala alanimetus]],4,FALSE)</f>
        <v>Maanteetransport</v>
      </c>
      <c r="S512" s="53"/>
      <c r="T512" s="53"/>
      <c r="U512" s="53">
        <f>Table1[[#This Row],[Summa]]+Table1[[#This Row],[I Muudatus]]+Table1[[#This Row],[II Muudatus]]</f>
        <v>242660</v>
      </c>
    </row>
    <row r="513" spans="1:21" ht="14.25" hidden="1" customHeight="1" x14ac:dyDescent="0.25">
      <c r="A513" s="41" t="s">
        <v>722</v>
      </c>
      <c r="B513" s="41">
        <v>242660</v>
      </c>
      <c r="C513" s="52">
        <v>5512</v>
      </c>
      <c r="D513" s="52" t="str">
        <f>LEFT(Table1[[#This Row],[Eelarvekonto]],2)</f>
        <v>55</v>
      </c>
      <c r="E513" s="41" t="str">
        <f>VLOOKUP(Table1[[#This Row],[Eelarvekonto]],Table5[[Konto]:[Konto nimetus]],2,FALSE)</f>
        <v>Rajatiste majandamiskulud</v>
      </c>
      <c r="F513" s="41" t="s">
        <v>139</v>
      </c>
      <c r="G513" s="41" t="s">
        <v>24</v>
      </c>
      <c r="J513" s="41" t="s">
        <v>423</v>
      </c>
      <c r="K513" s="41" t="s">
        <v>422</v>
      </c>
      <c r="L513" s="58" t="s">
        <v>723</v>
      </c>
      <c r="M513" s="58" t="str">
        <f>LEFT(Table1[[#This Row],[Tegevusala kood]],2)</f>
        <v>04</v>
      </c>
      <c r="N513" s="41" t="str">
        <f>VLOOKUP(Table1[[#This Row],[Tegevusala kood]],Table4[[Tegevusala kood]:[Tegevusala alanimetus]],2,FALSE)</f>
        <v>Lumetõrje</v>
      </c>
      <c r="O513" s="41" t="s">
        <v>1</v>
      </c>
      <c r="P513" s="41" t="s">
        <v>1</v>
      </c>
      <c r="Q513" s="41" t="str">
        <f>VLOOKUP(Table1[[#This Row],[Eelarvekonto]],Table5[[Konto]:[Kontode alanimetus]],5,FALSE)</f>
        <v>Majandamiskulud</v>
      </c>
      <c r="R513" s="42" t="str">
        <f>VLOOKUP(Table1[[#This Row],[Tegevusala kood]],Table4[[Tegevusala kood]:[Tegevusala alanimetus]],4,FALSE)</f>
        <v>Maanteetransport</v>
      </c>
      <c r="S513" s="53"/>
      <c r="T513" s="53"/>
      <c r="U513" s="53">
        <f>Table1[[#This Row],[Summa]]+Table1[[#This Row],[I Muudatus]]+Table1[[#This Row],[II Muudatus]]</f>
        <v>242660</v>
      </c>
    </row>
    <row r="514" spans="1:21" ht="14.25" hidden="1" customHeight="1" x14ac:dyDescent="0.25">
      <c r="A514" s="41" t="s">
        <v>649</v>
      </c>
      <c r="B514" s="41">
        <v>1440</v>
      </c>
      <c r="C514" s="52">
        <v>4138</v>
      </c>
      <c r="D514" s="52" t="str">
        <f>LEFT(Table1[[#This Row],[Eelarvekonto]],2)</f>
        <v>41</v>
      </c>
      <c r="E514" s="41" t="str">
        <f>VLOOKUP(Table1[[#This Row],[Eelarvekonto]],Table5[[Konto]:[Konto nimetus]],2,FALSE)</f>
        <v>Muud sotsiaalabitoetused</v>
      </c>
      <c r="F514" s="41" t="s">
        <v>139</v>
      </c>
      <c r="G514" s="41" t="s">
        <v>24</v>
      </c>
      <c r="J514" s="41" t="s">
        <v>365</v>
      </c>
      <c r="K514" s="41" t="s">
        <v>364</v>
      </c>
      <c r="L514" s="58" t="s">
        <v>366</v>
      </c>
      <c r="M514" s="58" t="str">
        <f>LEFT(Table1[[#This Row],[Tegevusala kood]],2)</f>
        <v>10</v>
      </c>
      <c r="N514" s="41" t="str">
        <f>VLOOKUP(Table1[[#This Row],[Tegevusala kood]],Table4[[Tegevusala kood]:[Tegevusala alanimetus]],2,FALSE)</f>
        <v>Muu sotsiaalsete riskirühmade kaitse</v>
      </c>
      <c r="O514" s="41" t="s">
        <v>1</v>
      </c>
      <c r="P514" s="41" t="s">
        <v>1</v>
      </c>
      <c r="Q514" s="41" t="str">
        <f>VLOOKUP(Table1[[#This Row],[Eelarvekonto]],Table5[[Konto]:[Kontode alanimetus]],5,FALSE)</f>
        <v>Sotsiaalabitoetused ja muud toetused füüsilistele isikutele</v>
      </c>
      <c r="R514" s="42" t="str">
        <f>VLOOKUP(Table1[[#This Row],[Tegevusala kood]],Table4[[Tegevusala kood]:[Tegevusala alanimetus]],4,FALSE)</f>
        <v>Muu sotsiaalsete riskirühmade kaitse</v>
      </c>
      <c r="S514" s="53"/>
      <c r="T514" s="53"/>
      <c r="U514" s="53">
        <f>Table1[[#This Row],[Summa]]+Table1[[#This Row],[I Muudatus]]+Table1[[#This Row],[II Muudatus]]</f>
        <v>1440</v>
      </c>
    </row>
    <row r="515" spans="1:21" ht="14.25" hidden="1" customHeight="1" x14ac:dyDescent="0.25">
      <c r="A515" s="41" t="s">
        <v>650</v>
      </c>
      <c r="B515" s="41">
        <v>6000</v>
      </c>
      <c r="C515" s="52">
        <v>4138</v>
      </c>
      <c r="D515" s="52" t="str">
        <f>LEFT(Table1[[#This Row],[Eelarvekonto]],2)</f>
        <v>41</v>
      </c>
      <c r="E515" s="41" t="str">
        <f>VLOOKUP(Table1[[#This Row],[Eelarvekonto]],Table5[[Konto]:[Konto nimetus]],2,FALSE)</f>
        <v>Muud sotsiaalabitoetused</v>
      </c>
      <c r="F515" s="41" t="s">
        <v>139</v>
      </c>
      <c r="G515" s="41" t="s">
        <v>24</v>
      </c>
      <c r="J515" s="41" t="s">
        <v>365</v>
      </c>
      <c r="K515" s="41" t="s">
        <v>364</v>
      </c>
      <c r="L515" s="58" t="s">
        <v>366</v>
      </c>
      <c r="M515" s="58" t="str">
        <f>LEFT(Table1[[#This Row],[Tegevusala kood]],2)</f>
        <v>10</v>
      </c>
      <c r="N515" s="41" t="str">
        <f>VLOOKUP(Table1[[#This Row],[Tegevusala kood]],Table4[[Tegevusala kood]:[Tegevusala alanimetus]],2,FALSE)</f>
        <v>Muu sotsiaalsete riskirühmade kaitse</v>
      </c>
      <c r="O515" s="41" t="s">
        <v>1</v>
      </c>
      <c r="P515" s="41" t="s">
        <v>1</v>
      </c>
      <c r="Q515" s="41" t="str">
        <f>VLOOKUP(Table1[[#This Row],[Eelarvekonto]],Table5[[Konto]:[Kontode alanimetus]],5,FALSE)</f>
        <v>Sotsiaalabitoetused ja muud toetused füüsilistele isikutele</v>
      </c>
      <c r="R515" s="42" t="str">
        <f>VLOOKUP(Table1[[#This Row],[Tegevusala kood]],Table4[[Tegevusala kood]:[Tegevusala alanimetus]],4,FALSE)</f>
        <v>Muu sotsiaalsete riskirühmade kaitse</v>
      </c>
      <c r="S515" s="53"/>
      <c r="T515" s="53"/>
      <c r="U515" s="53">
        <f>Table1[[#This Row],[Summa]]+Table1[[#This Row],[I Muudatus]]+Table1[[#This Row],[II Muudatus]]</f>
        <v>6000</v>
      </c>
    </row>
    <row r="516" spans="1:21" ht="14.25" hidden="1" customHeight="1" x14ac:dyDescent="0.25">
      <c r="A516" s="41" t="s">
        <v>376</v>
      </c>
      <c r="B516" s="41">
        <v>3000</v>
      </c>
      <c r="C516" s="52">
        <v>4132</v>
      </c>
      <c r="D516" s="52" t="str">
        <f>LEFT(Table1[[#This Row],[Eelarvekonto]],2)</f>
        <v>41</v>
      </c>
      <c r="E516" s="41" t="str">
        <f>VLOOKUP(Table1[[#This Row],[Eelarvekonto]],Table5[[Konto]:[Konto nimetus]],2,FALSE)</f>
        <v>Toetused töötutele</v>
      </c>
      <c r="F516" s="41" t="s">
        <v>139</v>
      </c>
      <c r="G516" s="41" t="s">
        <v>24</v>
      </c>
      <c r="J516" s="41" t="s">
        <v>365</v>
      </c>
      <c r="K516" s="41" t="s">
        <v>364</v>
      </c>
      <c r="L516" s="58" t="s">
        <v>375</v>
      </c>
      <c r="M516" s="58" t="str">
        <f>LEFT(Table1[[#This Row],[Tegevusala kood]],2)</f>
        <v>10</v>
      </c>
      <c r="N516" s="41" t="str">
        <f>VLOOKUP(Table1[[#This Row],[Tegevusala kood]],Table4[[Tegevusala kood]:[Tegevusala alanimetus]],2,FALSE)</f>
        <v>Töötute sotsiaalne kaitse</v>
      </c>
      <c r="O516" s="41" t="s">
        <v>1</v>
      </c>
      <c r="P516" s="41" t="s">
        <v>1</v>
      </c>
      <c r="Q516" s="41" t="str">
        <f>VLOOKUP(Table1[[#This Row],[Eelarvekonto]],Table5[[Konto]:[Kontode alanimetus]],5,FALSE)</f>
        <v>Sotsiaalabitoetused ja muud toetused füüsilistele isikutele</v>
      </c>
      <c r="R516" s="42" t="str">
        <f>VLOOKUP(Table1[[#This Row],[Tegevusala kood]],Table4[[Tegevusala kood]:[Tegevusala alanimetus]],4,FALSE)</f>
        <v>Töötute sotsiaalne kaitse</v>
      </c>
      <c r="S516" s="53"/>
      <c r="T516" s="53"/>
      <c r="U516" s="53">
        <f>Table1[[#This Row],[Summa]]+Table1[[#This Row],[I Muudatus]]+Table1[[#This Row],[II Muudatus]]</f>
        <v>3000</v>
      </c>
    </row>
    <row r="517" spans="1:21" ht="14.25" hidden="1" customHeight="1" x14ac:dyDescent="0.25">
      <c r="A517" s="41" t="s">
        <v>1093</v>
      </c>
      <c r="B517" s="41">
        <v>4000</v>
      </c>
      <c r="C517" s="52">
        <v>4138</v>
      </c>
      <c r="D517" s="52" t="str">
        <f>LEFT(Table1[[#This Row],[Eelarvekonto]],2)</f>
        <v>41</v>
      </c>
      <c r="E517" s="41" t="str">
        <f>VLOOKUP(Table1[[#This Row],[Eelarvekonto]],Table5[[Konto]:[Konto nimetus]],2,FALSE)</f>
        <v>Muud sotsiaalabitoetused</v>
      </c>
      <c r="F517" s="41" t="s">
        <v>139</v>
      </c>
      <c r="G517" s="41" t="s">
        <v>24</v>
      </c>
      <c r="J517" s="41" t="s">
        <v>365</v>
      </c>
      <c r="K517" s="41" t="s">
        <v>364</v>
      </c>
      <c r="L517" s="58" t="s">
        <v>383</v>
      </c>
      <c r="M517" s="58" t="str">
        <f>LEFT(Table1[[#This Row],[Tegevusala kood]],2)</f>
        <v>10</v>
      </c>
      <c r="N517" s="41" t="str">
        <f>VLOOKUP(Table1[[#This Row],[Tegevusala kood]],Table4[[Tegevusala kood]:[Tegevusala alanimetus]],2,FALSE)</f>
        <v>Matusetoetus</v>
      </c>
      <c r="O517" s="41" t="s">
        <v>1</v>
      </c>
      <c r="P517" s="41" t="s">
        <v>1</v>
      </c>
      <c r="Q517" s="41" t="str">
        <f>VLOOKUP(Table1[[#This Row],[Eelarvekonto]],Table5[[Konto]:[Kontode alanimetus]],5,FALSE)</f>
        <v>Sotsiaalabitoetused ja muud toetused füüsilistele isikutele</v>
      </c>
      <c r="R517" s="42" t="str">
        <f>VLOOKUP(Table1[[#This Row],[Tegevusala kood]],Table4[[Tegevusala kood]:[Tegevusala alanimetus]],4,FALSE)</f>
        <v>Muu perekondade ja laste sotsiaalne kaitse</v>
      </c>
      <c r="S517" s="53"/>
      <c r="T517" s="53"/>
      <c r="U517" s="53">
        <f>Table1[[#This Row],[Summa]]+Table1[[#This Row],[I Muudatus]]+Table1[[#This Row],[II Muudatus]]</f>
        <v>4000</v>
      </c>
    </row>
    <row r="518" spans="1:21" ht="14.25" hidden="1" customHeight="1" x14ac:dyDescent="0.25">
      <c r="A518" s="41" t="s">
        <v>384</v>
      </c>
      <c r="B518" s="41">
        <v>9100</v>
      </c>
      <c r="C518" s="52">
        <v>4138</v>
      </c>
      <c r="D518" s="52" t="str">
        <f>LEFT(Table1[[#This Row],[Eelarvekonto]],2)</f>
        <v>41</v>
      </c>
      <c r="E518" s="41" t="str">
        <f>VLOOKUP(Table1[[#This Row],[Eelarvekonto]],Table5[[Konto]:[Konto nimetus]],2,FALSE)</f>
        <v>Muud sotsiaalabitoetused</v>
      </c>
      <c r="F518" s="41" t="s">
        <v>139</v>
      </c>
      <c r="G518" s="41" t="s">
        <v>24</v>
      </c>
      <c r="J518" s="41" t="s">
        <v>365</v>
      </c>
      <c r="K518" s="41" t="s">
        <v>364</v>
      </c>
      <c r="L518" s="58" t="s">
        <v>383</v>
      </c>
      <c r="M518" s="58" t="str">
        <f>LEFT(Table1[[#This Row],[Tegevusala kood]],2)</f>
        <v>10</v>
      </c>
      <c r="N518" s="41" t="str">
        <f>VLOOKUP(Table1[[#This Row],[Tegevusala kood]],Table4[[Tegevusala kood]:[Tegevusala alanimetus]],2,FALSE)</f>
        <v>Matusetoetus</v>
      </c>
      <c r="O518" s="41" t="s">
        <v>1</v>
      </c>
      <c r="P518" s="41" t="s">
        <v>1</v>
      </c>
      <c r="Q518" s="41" t="str">
        <f>VLOOKUP(Table1[[#This Row],[Eelarvekonto]],Table5[[Konto]:[Kontode alanimetus]],5,FALSE)</f>
        <v>Sotsiaalabitoetused ja muud toetused füüsilistele isikutele</v>
      </c>
      <c r="R518" s="42" t="str">
        <f>VLOOKUP(Table1[[#This Row],[Tegevusala kood]],Table4[[Tegevusala kood]:[Tegevusala alanimetus]],4,FALSE)</f>
        <v>Muu perekondade ja laste sotsiaalne kaitse</v>
      </c>
      <c r="S518" s="53"/>
      <c r="T518" s="53"/>
      <c r="U518" s="53">
        <f>Table1[[#This Row],[Summa]]+Table1[[#This Row],[I Muudatus]]+Table1[[#This Row],[II Muudatus]]</f>
        <v>9100</v>
      </c>
    </row>
    <row r="519" spans="1:21" ht="14.25" hidden="1" customHeight="1" x14ac:dyDescent="0.25">
      <c r="A519" s="41" t="s">
        <v>382</v>
      </c>
      <c r="B519" s="41">
        <v>22658</v>
      </c>
      <c r="C519" s="52">
        <v>4138</v>
      </c>
      <c r="D519" s="52" t="str">
        <f>LEFT(Table1[[#This Row],[Eelarvekonto]],2)</f>
        <v>41</v>
      </c>
      <c r="E519" s="41" t="str">
        <f>VLOOKUP(Table1[[#This Row],[Eelarvekonto]],Table5[[Konto]:[Konto nimetus]],2,FALSE)</f>
        <v>Muud sotsiaalabitoetused</v>
      </c>
      <c r="F519" s="41" t="s">
        <v>139</v>
      </c>
      <c r="G519" s="41" t="s">
        <v>24</v>
      </c>
      <c r="J519" s="41" t="s">
        <v>365</v>
      </c>
      <c r="K519" s="41" t="s">
        <v>364</v>
      </c>
      <c r="L519" s="58" t="s">
        <v>383</v>
      </c>
      <c r="M519" s="58" t="str">
        <f>LEFT(Table1[[#This Row],[Tegevusala kood]],2)</f>
        <v>10</v>
      </c>
      <c r="N519" s="41" t="str">
        <f>VLOOKUP(Table1[[#This Row],[Tegevusala kood]],Table4[[Tegevusala kood]:[Tegevusala alanimetus]],2,FALSE)</f>
        <v>Matusetoetus</v>
      </c>
      <c r="O519" s="41" t="s">
        <v>1</v>
      </c>
      <c r="P519" s="41" t="s">
        <v>1</v>
      </c>
      <c r="Q519" s="41" t="str">
        <f>VLOOKUP(Table1[[#This Row],[Eelarvekonto]],Table5[[Konto]:[Kontode alanimetus]],5,FALSE)</f>
        <v>Sotsiaalabitoetused ja muud toetused füüsilistele isikutele</v>
      </c>
      <c r="R519" s="42" t="str">
        <f>VLOOKUP(Table1[[#This Row],[Tegevusala kood]],Table4[[Tegevusala kood]:[Tegevusala alanimetus]],4,FALSE)</f>
        <v>Muu perekondade ja laste sotsiaalne kaitse</v>
      </c>
      <c r="S519" s="53"/>
      <c r="T519" s="53"/>
      <c r="U519" s="53">
        <f>Table1[[#This Row],[Summa]]+Table1[[#This Row],[I Muudatus]]+Table1[[#This Row],[II Muudatus]]</f>
        <v>22658</v>
      </c>
    </row>
    <row r="520" spans="1:21" ht="14.25" hidden="1" customHeight="1" x14ac:dyDescent="0.25">
      <c r="A520" s="41" t="s">
        <v>1094</v>
      </c>
      <c r="B520" s="41">
        <v>9000</v>
      </c>
      <c r="C520" s="52">
        <v>5511</v>
      </c>
      <c r="D520" s="52" t="str">
        <f>LEFT(Table1[[#This Row],[Eelarvekonto]],2)</f>
        <v>55</v>
      </c>
      <c r="E520" s="41" t="str">
        <f>VLOOKUP(Table1[[#This Row],[Eelarvekonto]],Table5[[Konto]:[Konto nimetus]],2,FALSE)</f>
        <v>Kinnistute, hoonete ja ruumide majandamiskulud</v>
      </c>
      <c r="F520" s="41" t="s">
        <v>139</v>
      </c>
      <c r="G520" s="41" t="s">
        <v>24</v>
      </c>
      <c r="J520" s="41" t="s">
        <v>409</v>
      </c>
      <c r="K520" s="41" t="s">
        <v>408</v>
      </c>
      <c r="L520" s="58" t="s">
        <v>407</v>
      </c>
      <c r="M520" s="58" t="str">
        <f>LEFT(Table1[[#This Row],[Tegevusala kood]],2)</f>
        <v>05</v>
      </c>
      <c r="N520" s="41" t="str">
        <f>VLOOKUP(Table1[[#This Row],[Tegevusala kood]],Table4[[Tegevusala kood]:[Tegevusala alanimetus]],2,FALSE)</f>
        <v>Jäätmekäitlus</v>
      </c>
      <c r="O520" s="41" t="s">
        <v>1</v>
      </c>
      <c r="P520" s="41" t="s">
        <v>1</v>
      </c>
      <c r="Q520" s="41" t="str">
        <f>VLOOKUP(Table1[[#This Row],[Eelarvekonto]],Table5[[Konto]:[Kontode alanimetus]],5,FALSE)</f>
        <v>Majandamiskulud</v>
      </c>
      <c r="R520" s="42" t="str">
        <f>VLOOKUP(Table1[[#This Row],[Tegevusala kood]],Table4[[Tegevusala kood]:[Tegevusala alanimetus]],4,FALSE)</f>
        <v>Jäätmekäitlus</v>
      </c>
      <c r="S520" s="53"/>
      <c r="T520" s="53"/>
      <c r="U520" s="53">
        <f>Table1[[#This Row],[Summa]]+Table1[[#This Row],[I Muudatus]]+Table1[[#This Row],[II Muudatus]]</f>
        <v>9000</v>
      </c>
    </row>
    <row r="521" spans="1:21" ht="14.25" hidden="1" customHeight="1" x14ac:dyDescent="0.25">
      <c r="A521" s="41" t="s">
        <v>695</v>
      </c>
      <c r="B521" s="41">
        <v>211.44</v>
      </c>
      <c r="C521" s="52">
        <v>5511</v>
      </c>
      <c r="D521" s="52" t="str">
        <f>LEFT(Table1[[#This Row],[Eelarvekonto]],2)</f>
        <v>55</v>
      </c>
      <c r="E521" s="41" t="str">
        <f>VLOOKUP(Table1[[#This Row],[Eelarvekonto]],Table5[[Konto]:[Konto nimetus]],2,FALSE)</f>
        <v>Kinnistute, hoonete ja ruumide majandamiskulud</v>
      </c>
      <c r="F521" s="41" t="s">
        <v>139</v>
      </c>
      <c r="G521" s="41" t="s">
        <v>24</v>
      </c>
      <c r="J521" s="41" t="s">
        <v>409</v>
      </c>
      <c r="K521" s="41" t="s">
        <v>408</v>
      </c>
      <c r="L521" s="58" t="s">
        <v>407</v>
      </c>
      <c r="M521" s="58" t="str">
        <f>LEFT(Table1[[#This Row],[Tegevusala kood]],2)</f>
        <v>05</v>
      </c>
      <c r="N521" s="41" t="str">
        <f>VLOOKUP(Table1[[#This Row],[Tegevusala kood]],Table4[[Tegevusala kood]:[Tegevusala alanimetus]],2,FALSE)</f>
        <v>Jäätmekäitlus</v>
      </c>
      <c r="O521" s="41" t="s">
        <v>1</v>
      </c>
      <c r="P521" s="41" t="s">
        <v>1</v>
      </c>
      <c r="Q521" s="41" t="str">
        <f>VLOOKUP(Table1[[#This Row],[Eelarvekonto]],Table5[[Konto]:[Kontode alanimetus]],5,FALSE)</f>
        <v>Majandamiskulud</v>
      </c>
      <c r="R521" s="42" t="str">
        <f>VLOOKUP(Table1[[#This Row],[Tegevusala kood]],Table4[[Tegevusala kood]:[Tegevusala alanimetus]],4,FALSE)</f>
        <v>Jäätmekäitlus</v>
      </c>
      <c r="S521" s="53"/>
      <c r="T521" s="53"/>
      <c r="U521" s="53">
        <f>Table1[[#This Row],[Summa]]+Table1[[#This Row],[I Muudatus]]+Table1[[#This Row],[II Muudatus]]</f>
        <v>211.44</v>
      </c>
    </row>
    <row r="522" spans="1:21" ht="14.25" hidden="1" customHeight="1" x14ac:dyDescent="0.25">
      <c r="A522" s="41" t="s">
        <v>694</v>
      </c>
      <c r="B522" s="41">
        <v>6</v>
      </c>
      <c r="C522" s="52">
        <v>5514</v>
      </c>
      <c r="D522" s="52" t="str">
        <f>LEFT(Table1[[#This Row],[Eelarvekonto]],2)</f>
        <v>55</v>
      </c>
      <c r="E522" s="41" t="str">
        <f>VLOOKUP(Table1[[#This Row],[Eelarvekonto]],Table5[[Konto]:[Konto nimetus]],2,FALSE)</f>
        <v>Info- ja kommunikatsioonitehnoloogia kulud</v>
      </c>
      <c r="F522" s="41" t="s">
        <v>139</v>
      </c>
      <c r="G522" s="41" t="s">
        <v>24</v>
      </c>
      <c r="J522" s="41" t="s">
        <v>409</v>
      </c>
      <c r="K522" s="41" t="s">
        <v>408</v>
      </c>
      <c r="L522" s="58" t="s">
        <v>407</v>
      </c>
      <c r="M522" s="58" t="str">
        <f>LEFT(Table1[[#This Row],[Tegevusala kood]],2)</f>
        <v>05</v>
      </c>
      <c r="N522" s="41" t="str">
        <f>VLOOKUP(Table1[[#This Row],[Tegevusala kood]],Table4[[Tegevusala kood]:[Tegevusala alanimetus]],2,FALSE)</f>
        <v>Jäätmekäitlus</v>
      </c>
      <c r="O522" s="41" t="s">
        <v>1</v>
      </c>
      <c r="P522" s="41" t="s">
        <v>1</v>
      </c>
      <c r="Q522" s="41" t="str">
        <f>VLOOKUP(Table1[[#This Row],[Eelarvekonto]],Table5[[Konto]:[Kontode alanimetus]],5,FALSE)</f>
        <v>Majandamiskulud</v>
      </c>
      <c r="R522" s="42" t="str">
        <f>VLOOKUP(Table1[[#This Row],[Tegevusala kood]],Table4[[Tegevusala kood]:[Tegevusala alanimetus]],4,FALSE)</f>
        <v>Jäätmekäitlus</v>
      </c>
      <c r="S522" s="53"/>
      <c r="T522" s="53"/>
      <c r="U522" s="53">
        <f>Table1[[#This Row],[Summa]]+Table1[[#This Row],[I Muudatus]]+Table1[[#This Row],[II Muudatus]]</f>
        <v>6</v>
      </c>
    </row>
    <row r="523" spans="1:21" ht="14.25" hidden="1" customHeight="1" x14ac:dyDescent="0.25">
      <c r="A523" s="41" t="s">
        <v>693</v>
      </c>
      <c r="B523" s="41">
        <v>300</v>
      </c>
      <c r="C523" s="52">
        <v>5514</v>
      </c>
      <c r="D523" s="52" t="str">
        <f>LEFT(Table1[[#This Row],[Eelarvekonto]],2)</f>
        <v>55</v>
      </c>
      <c r="E523" s="41" t="str">
        <f>VLOOKUP(Table1[[#This Row],[Eelarvekonto]],Table5[[Konto]:[Konto nimetus]],2,FALSE)</f>
        <v>Info- ja kommunikatsioonitehnoloogia kulud</v>
      </c>
      <c r="F523" s="41" t="s">
        <v>139</v>
      </c>
      <c r="G523" s="41" t="s">
        <v>24</v>
      </c>
      <c r="J523" s="41" t="s">
        <v>409</v>
      </c>
      <c r="K523" s="41" t="s">
        <v>408</v>
      </c>
      <c r="L523" s="58" t="s">
        <v>407</v>
      </c>
      <c r="M523" s="58" t="str">
        <f>LEFT(Table1[[#This Row],[Tegevusala kood]],2)</f>
        <v>05</v>
      </c>
      <c r="N523" s="41" t="str">
        <f>VLOOKUP(Table1[[#This Row],[Tegevusala kood]],Table4[[Tegevusala kood]:[Tegevusala alanimetus]],2,FALSE)</f>
        <v>Jäätmekäitlus</v>
      </c>
      <c r="O523" s="41" t="s">
        <v>1</v>
      </c>
      <c r="P523" s="41" t="s">
        <v>1</v>
      </c>
      <c r="Q523" s="41" t="str">
        <f>VLOOKUP(Table1[[#This Row],[Eelarvekonto]],Table5[[Konto]:[Kontode alanimetus]],5,FALSE)</f>
        <v>Majandamiskulud</v>
      </c>
      <c r="R523" s="42" t="str">
        <f>VLOOKUP(Table1[[#This Row],[Tegevusala kood]],Table4[[Tegevusala kood]:[Tegevusala alanimetus]],4,FALSE)</f>
        <v>Jäätmekäitlus</v>
      </c>
      <c r="S523" s="53"/>
      <c r="T523" s="53"/>
      <c r="U523" s="53">
        <f>Table1[[#This Row],[Summa]]+Table1[[#This Row],[I Muudatus]]+Table1[[#This Row],[II Muudatus]]</f>
        <v>300</v>
      </c>
    </row>
    <row r="524" spans="1:21" ht="14.25" hidden="1" customHeight="1" x14ac:dyDescent="0.25">
      <c r="A524" s="57" t="s">
        <v>1406</v>
      </c>
      <c r="B524" s="96">
        <v>76000</v>
      </c>
      <c r="C524" s="60">
        <v>208120</v>
      </c>
      <c r="D524" s="57" t="str">
        <f>LEFT(Table1[[#This Row],[Eelarvekonto]],2)</f>
        <v>20</v>
      </c>
      <c r="E524" s="57" t="str">
        <f>VLOOKUP(Table1[[#This Row],[Eelarvekonto]],Table5[[Konto]:[Konto nimetus]],2,FALSE)</f>
        <v>Võetud pikaajalised laenud nominaalväärtuses</v>
      </c>
      <c r="F524" s="57" t="s">
        <v>955</v>
      </c>
      <c r="G524" s="57" t="s">
        <v>46</v>
      </c>
      <c r="H524" s="42"/>
      <c r="I524" s="42"/>
      <c r="J524" s="57" t="s">
        <v>139</v>
      </c>
      <c r="K524" s="57" t="s">
        <v>54</v>
      </c>
      <c r="L524" s="92" t="s">
        <v>1166</v>
      </c>
      <c r="M524" s="92" t="str">
        <f>LEFT(Table1[[#This Row],[Tegevusala kood]],2)</f>
        <v>01</v>
      </c>
      <c r="N524" s="60" t="str">
        <f>VLOOKUP(Table1[[#This Row],[Tegevusala kood]],Table4[[Tegevusala kood]:[Tegevusala alanimetus]],2,FALSE)</f>
        <v>Valitsussektori võla teenindamine</v>
      </c>
      <c r="O524" s="57"/>
      <c r="P524" s="57"/>
      <c r="Q524" s="60" t="str">
        <f>VLOOKUP(Table1[[#This Row],[Eelarvekonto]],Table5[[Konto]:[Kontode alanimetus]],5,FALSE)</f>
        <v>Kohustuste tasumine (-)</v>
      </c>
      <c r="R524" s="60" t="str">
        <f>VLOOKUP(Table1[[#This Row],[Tegevusala kood]],Table4[[Tegevusala kood]:[Tegevusala alanimetus]],4,FALSE)</f>
        <v>Valitsussektori võla teenindamine</v>
      </c>
      <c r="S524" s="60"/>
      <c r="T524" s="60"/>
      <c r="U524" s="60">
        <f>Table1[[#This Row],[Summa]]+Table1[[#This Row],[I Muudatus]]+Table1[[#This Row],[II Muudatus]]</f>
        <v>76000</v>
      </c>
    </row>
    <row r="525" spans="1:21" ht="14.25" hidden="1" customHeight="1" x14ac:dyDescent="0.25">
      <c r="A525" s="41" t="s">
        <v>894</v>
      </c>
      <c r="B525" s="63">
        <v>39901.69</v>
      </c>
      <c r="C525" s="52">
        <v>6501</v>
      </c>
      <c r="D525" s="52" t="str">
        <f>LEFT(Table1[[#This Row],[Eelarvekonto]],2)</f>
        <v>65</v>
      </c>
      <c r="E525" s="41" t="str">
        <f>VLOOKUP(Table1[[#This Row],[Eelarvekonto]],Table5[[Konto]:[Konto nimetus]],2,FALSE)</f>
        <v>Laenuintressi kulu</v>
      </c>
      <c r="F525" s="41" t="s">
        <v>956</v>
      </c>
      <c r="G525" s="41" t="s">
        <v>891</v>
      </c>
      <c r="J525" s="41" t="s">
        <v>139</v>
      </c>
      <c r="K525" s="41" t="s">
        <v>54</v>
      </c>
      <c r="L525" s="58" t="s">
        <v>1166</v>
      </c>
      <c r="M525" s="58" t="str">
        <f>LEFT(Table1[[#This Row],[Tegevusala kood]],2)</f>
        <v>01</v>
      </c>
      <c r="N525" s="41" t="str">
        <f>VLOOKUP(Table1[[#This Row],[Tegevusala kood]],Table4[[Tegevusala kood]:[Tegevusala alanimetus]],2,FALSE)</f>
        <v>Valitsussektori võla teenindamine</v>
      </c>
      <c r="O525" s="41" t="s">
        <v>1</v>
      </c>
      <c r="P525" s="41" t="s">
        <v>1</v>
      </c>
      <c r="Q525" s="41" t="str">
        <f>VLOOKUP(Table1[[#This Row],[Eelarvekonto]],Table5[[Konto]:[Kontode alanimetus]],5,FALSE)</f>
        <v>Finantskulud (-)</v>
      </c>
      <c r="R525" s="42" t="str">
        <f>VLOOKUP(Table1[[#This Row],[Tegevusala kood]],Table4[[Tegevusala kood]:[Tegevusala alanimetus]],4,FALSE)</f>
        <v>Valitsussektori võla teenindamine</v>
      </c>
      <c r="S525" s="53"/>
      <c r="T525" s="53"/>
      <c r="U525" s="53">
        <f>Table1[[#This Row],[Summa]]+Table1[[#This Row],[I Muudatus]]+Table1[[#This Row],[II Muudatus]]</f>
        <v>39901.69</v>
      </c>
    </row>
    <row r="526" spans="1:21" ht="14.25" hidden="1" customHeight="1" x14ac:dyDescent="0.25">
      <c r="A526" s="41" t="s">
        <v>905</v>
      </c>
      <c r="B526" s="41">
        <v>812835.38000000012</v>
      </c>
      <c r="C526" s="52">
        <v>208120</v>
      </c>
      <c r="D526" s="52" t="str">
        <f>LEFT(Table1[[#This Row],[Eelarvekonto]],2)</f>
        <v>20</v>
      </c>
      <c r="E526" s="41" t="str">
        <f>VLOOKUP(Table1[[#This Row],[Eelarvekonto]],Table5[[Konto]:[Konto nimetus]],2,FALSE)</f>
        <v>Võetud pikaajalised laenud nominaalväärtuses</v>
      </c>
      <c r="F526" s="41" t="s">
        <v>955</v>
      </c>
      <c r="G526" s="41" t="s">
        <v>46</v>
      </c>
      <c r="J526" s="41" t="s">
        <v>139</v>
      </c>
      <c r="K526" s="41" t="s">
        <v>54</v>
      </c>
      <c r="L526" s="58" t="s">
        <v>1166</v>
      </c>
      <c r="M526" s="58" t="str">
        <f>LEFT(Table1[[#This Row],[Tegevusala kood]],2)</f>
        <v>01</v>
      </c>
      <c r="N526" s="41" t="str">
        <f>VLOOKUP(Table1[[#This Row],[Tegevusala kood]],Table4[[Tegevusala kood]:[Tegevusala alanimetus]],2,FALSE)</f>
        <v>Valitsussektori võla teenindamine</v>
      </c>
      <c r="O526" s="41" t="s">
        <v>1</v>
      </c>
      <c r="P526" s="41" t="s">
        <v>1</v>
      </c>
      <c r="Q526" s="41" t="str">
        <f>VLOOKUP(Table1[[#This Row],[Eelarvekonto]],Table5[[Konto]:[Kontode alanimetus]],5,FALSE)</f>
        <v>Kohustuste tasumine (-)</v>
      </c>
      <c r="R526" s="42" t="str">
        <f>VLOOKUP(Table1[[#This Row],[Tegevusala kood]],Table4[[Tegevusala kood]:[Tegevusala alanimetus]],4,FALSE)</f>
        <v>Valitsussektori võla teenindamine</v>
      </c>
      <c r="S526" s="53"/>
      <c r="T526" s="53"/>
      <c r="U526" s="53">
        <f>Table1[[#This Row],[Summa]]+Table1[[#This Row],[I Muudatus]]+Table1[[#This Row],[II Muudatus]]</f>
        <v>812835.38000000012</v>
      </c>
    </row>
    <row r="527" spans="1:21" ht="14.25" hidden="1" customHeight="1" x14ac:dyDescent="0.25">
      <c r="A527" s="41" t="s">
        <v>140</v>
      </c>
      <c r="B527" s="41">
        <v>1000</v>
      </c>
      <c r="C527" s="52">
        <v>5504</v>
      </c>
      <c r="D527" s="52" t="str">
        <f>LEFT(Table1[[#This Row],[Eelarvekonto]],2)</f>
        <v>55</v>
      </c>
      <c r="E527" s="41" t="str">
        <f>VLOOKUP(Table1[[#This Row],[Eelarvekonto]],Table5[[Konto]:[Konto nimetus]],2,FALSE)</f>
        <v>Koolituskulud (sh koolituslähetus)</v>
      </c>
      <c r="F527" s="41" t="s">
        <v>139</v>
      </c>
      <c r="G527" s="41" t="s">
        <v>24</v>
      </c>
      <c r="J527" s="41" t="s">
        <v>139</v>
      </c>
      <c r="K527" s="41" t="s">
        <v>54</v>
      </c>
      <c r="L527" s="58" t="s">
        <v>742</v>
      </c>
      <c r="M527" s="58" t="str">
        <f>LEFT(Table1[[#This Row],[Tegevusala kood]],2)</f>
        <v>02</v>
      </c>
      <c r="N527" s="41" t="str">
        <f>VLOOKUP(Table1[[#This Row],[Tegevusala kood]],Table4[[Tegevusala kood]:[Tegevusala alanimetus]],2,FALSE)</f>
        <v>Muu riigikaitse</v>
      </c>
      <c r="O527" s="41" t="s">
        <v>1</v>
      </c>
      <c r="P527" s="41" t="s">
        <v>1</v>
      </c>
      <c r="Q527" s="41" t="str">
        <f>VLOOKUP(Table1[[#This Row],[Eelarvekonto]],Table5[[Konto]:[Kontode alanimetus]],5,FALSE)</f>
        <v>Majandamiskulud</v>
      </c>
      <c r="R527" s="42" t="str">
        <f>VLOOKUP(Table1[[#This Row],[Tegevusala kood]],Table4[[Tegevusala kood]:[Tegevusala alanimetus]],4,FALSE)</f>
        <v>Muu riigikaitse</v>
      </c>
      <c r="S527" s="53"/>
      <c r="T527" s="53"/>
      <c r="U527" s="53">
        <f>Table1[[#This Row],[Summa]]+Table1[[#This Row],[I Muudatus]]+Table1[[#This Row],[II Muudatus]]</f>
        <v>1000</v>
      </c>
    </row>
    <row r="528" spans="1:21" ht="14.25" hidden="1" customHeight="1" x14ac:dyDescent="0.25">
      <c r="A528" s="41" t="s">
        <v>456</v>
      </c>
      <c r="B528" s="41">
        <v>7848</v>
      </c>
      <c r="C528" s="52">
        <v>5002</v>
      </c>
      <c r="D528" s="52" t="str">
        <f>LEFT(Table1[[#This Row],[Eelarvekonto]],2)</f>
        <v>50</v>
      </c>
      <c r="E528" s="41" t="str">
        <f>VLOOKUP(Table1[[#This Row],[Eelarvekonto]],Table5[[Konto]:[Konto nimetus]],2,FALSE)</f>
        <v>Töötajate töötasud</v>
      </c>
      <c r="F528" s="41" t="s">
        <v>139</v>
      </c>
      <c r="G528" s="41" t="s">
        <v>24</v>
      </c>
      <c r="J528" s="41" t="s">
        <v>206</v>
      </c>
      <c r="K528" s="41" t="s">
        <v>204</v>
      </c>
      <c r="L528" s="58" t="s">
        <v>205</v>
      </c>
      <c r="M528" s="58" t="str">
        <f>LEFT(Table1[[#This Row],[Tegevusala kood]],2)</f>
        <v>08</v>
      </c>
      <c r="N528" s="41" t="str">
        <f>VLOOKUP(Table1[[#This Row],[Tegevusala kood]],Table4[[Tegevusala kood]:[Tegevusala alanimetus]],2,FALSE)</f>
        <v>Roela Rahvamaja</v>
      </c>
      <c r="O528" s="41" t="s">
        <v>1</v>
      </c>
      <c r="P528" s="41" t="s">
        <v>1</v>
      </c>
      <c r="Q528" s="41" t="str">
        <f>VLOOKUP(Table1[[#This Row],[Eelarvekonto]],Table5[[Konto]:[Kontode alanimetus]],5,FALSE)</f>
        <v>Tööjõukulud</v>
      </c>
      <c r="R528" s="42" t="str">
        <f>VLOOKUP(Table1[[#This Row],[Tegevusala kood]],Table4[[Tegevusala kood]:[Tegevusala alanimetus]],4,FALSE)</f>
        <v>Rahvakultuur</v>
      </c>
      <c r="S528" s="53"/>
      <c r="T528" s="53"/>
      <c r="U528" s="53">
        <f>Table1[[#This Row],[Summa]]+Table1[[#This Row],[I Muudatus]]+Table1[[#This Row],[II Muudatus]]</f>
        <v>7848</v>
      </c>
    </row>
    <row r="529" spans="1:21" ht="14.25" hidden="1" customHeight="1" x14ac:dyDescent="0.25">
      <c r="A529" s="41" t="s">
        <v>158</v>
      </c>
      <c r="B529" s="41">
        <v>8870.4699999999993</v>
      </c>
      <c r="C529" s="52">
        <v>506</v>
      </c>
      <c r="D529" s="52" t="str">
        <f>LEFT(Table1[[#This Row],[Eelarvekonto]],2)</f>
        <v>50</v>
      </c>
      <c r="E529" s="41" t="str">
        <f>VLOOKUP(Table1[[#This Row],[Eelarvekonto]],Table5[[Konto]:[Konto nimetus]],2,FALSE)</f>
        <v>Tööjõukuludega kaasnevad maksud ja sotsiaalkindlustusmaksed</v>
      </c>
      <c r="F529" s="41" t="s">
        <v>139</v>
      </c>
      <c r="G529" s="41" t="s">
        <v>24</v>
      </c>
      <c r="J529" s="41" t="s">
        <v>206</v>
      </c>
      <c r="K529" s="41" t="s">
        <v>204</v>
      </c>
      <c r="L529" s="58" t="s">
        <v>205</v>
      </c>
      <c r="M529" s="58" t="str">
        <f>LEFT(Table1[[#This Row],[Tegevusala kood]],2)</f>
        <v>08</v>
      </c>
      <c r="N529" s="41" t="str">
        <f>VLOOKUP(Table1[[#This Row],[Tegevusala kood]],Table4[[Tegevusala kood]:[Tegevusala alanimetus]],2,FALSE)</f>
        <v>Roela Rahvamaja</v>
      </c>
      <c r="O529" s="41" t="s">
        <v>1</v>
      </c>
      <c r="P529" s="41" t="s">
        <v>1</v>
      </c>
      <c r="Q529" s="41" t="str">
        <f>VLOOKUP(Table1[[#This Row],[Eelarvekonto]],Table5[[Konto]:[Kontode alanimetus]],5,FALSE)</f>
        <v>Tööjõukulud</v>
      </c>
      <c r="R529" s="42" t="str">
        <f>VLOOKUP(Table1[[#This Row],[Tegevusala kood]],Table4[[Tegevusala kood]:[Tegevusala alanimetus]],4,FALSE)</f>
        <v>Rahvakultuur</v>
      </c>
      <c r="S529" s="53"/>
      <c r="T529" s="53"/>
      <c r="U529" s="53">
        <f>Table1[[#This Row],[Summa]]+Table1[[#This Row],[I Muudatus]]+Table1[[#This Row],[II Muudatus]]</f>
        <v>8870.4699999999993</v>
      </c>
    </row>
    <row r="530" spans="1:21" ht="14.25" hidden="1" customHeight="1" x14ac:dyDescent="0.25">
      <c r="A530" s="41" t="s">
        <v>201</v>
      </c>
      <c r="B530" s="41">
        <v>6804</v>
      </c>
      <c r="C530" s="52">
        <v>5005</v>
      </c>
      <c r="D530" s="52" t="str">
        <f>LEFT(Table1[[#This Row],[Eelarvekonto]],2)</f>
        <v>50</v>
      </c>
      <c r="E530" s="41" t="str">
        <f>VLOOKUP(Table1[[#This Row],[Eelarvekonto]],Table5[[Konto]:[Konto nimetus]],2,FALSE)</f>
        <v>Töötasud võlaõiguslike lepingute alusel</v>
      </c>
      <c r="F530" s="41" t="s">
        <v>139</v>
      </c>
      <c r="G530" s="41" t="s">
        <v>24</v>
      </c>
      <c r="J530" s="41" t="s">
        <v>206</v>
      </c>
      <c r="K530" s="41" t="s">
        <v>204</v>
      </c>
      <c r="L530" s="58" t="s">
        <v>205</v>
      </c>
      <c r="M530" s="58" t="str">
        <f>LEFT(Table1[[#This Row],[Tegevusala kood]],2)</f>
        <v>08</v>
      </c>
      <c r="N530" s="41" t="str">
        <f>VLOOKUP(Table1[[#This Row],[Tegevusala kood]],Table4[[Tegevusala kood]:[Tegevusala alanimetus]],2,FALSE)</f>
        <v>Roela Rahvamaja</v>
      </c>
      <c r="O530" s="41" t="s">
        <v>1</v>
      </c>
      <c r="P530" s="41" t="s">
        <v>1</v>
      </c>
      <c r="Q530" s="41" t="str">
        <f>VLOOKUP(Table1[[#This Row],[Eelarvekonto]],Table5[[Konto]:[Kontode alanimetus]],5,FALSE)</f>
        <v>Tööjõukulud</v>
      </c>
      <c r="R530" s="42" t="str">
        <f>VLOOKUP(Table1[[#This Row],[Tegevusala kood]],Table4[[Tegevusala kood]:[Tegevusala alanimetus]],4,FALSE)</f>
        <v>Rahvakultuur</v>
      </c>
      <c r="S530" s="53"/>
      <c r="T530" s="53"/>
      <c r="U530" s="53">
        <f>Table1[[#This Row],[Summa]]+Table1[[#This Row],[I Muudatus]]+Table1[[#This Row],[II Muudatus]]</f>
        <v>6804</v>
      </c>
    </row>
    <row r="531" spans="1:21" ht="14.25" hidden="1" customHeight="1" x14ac:dyDescent="0.25">
      <c r="A531" s="41" t="s">
        <v>472</v>
      </c>
      <c r="B531" s="41">
        <v>1100</v>
      </c>
      <c r="C531" s="52">
        <v>5513081</v>
      </c>
      <c r="D531" s="52" t="str">
        <f>LEFT(Table1[[#This Row],[Eelarvekonto]],2)</f>
        <v>55</v>
      </c>
      <c r="E531" s="41" t="str">
        <f>VLOOKUP(Table1[[#This Row],[Eelarvekonto]],Table5[[Konto]:[Konto nimetus]],2,FALSE)</f>
        <v>Isikliku sõiduauto kompensatsioon</v>
      </c>
      <c r="F531" s="41" t="s">
        <v>139</v>
      </c>
      <c r="G531" s="41" t="s">
        <v>24</v>
      </c>
      <c r="J531" s="41" t="s">
        <v>206</v>
      </c>
      <c r="K531" s="41" t="s">
        <v>204</v>
      </c>
      <c r="L531" s="58" t="s">
        <v>205</v>
      </c>
      <c r="M531" s="58" t="str">
        <f>LEFT(Table1[[#This Row],[Tegevusala kood]],2)</f>
        <v>08</v>
      </c>
      <c r="N531" s="41" t="str">
        <f>VLOOKUP(Table1[[#This Row],[Tegevusala kood]],Table4[[Tegevusala kood]:[Tegevusala alanimetus]],2,FALSE)</f>
        <v>Roela Rahvamaja</v>
      </c>
      <c r="O531" s="41" t="s">
        <v>1</v>
      </c>
      <c r="P531" s="41" t="s">
        <v>1</v>
      </c>
      <c r="Q531" s="41" t="str">
        <f>VLOOKUP(Table1[[#This Row],[Eelarvekonto]],Table5[[Konto]:[Kontode alanimetus]],5,FALSE)</f>
        <v>Majandamiskulud</v>
      </c>
      <c r="R531" s="42" t="str">
        <f>VLOOKUP(Table1[[#This Row],[Tegevusala kood]],Table4[[Tegevusala kood]:[Tegevusala alanimetus]],4,FALSE)</f>
        <v>Rahvakultuur</v>
      </c>
      <c r="S531" s="53"/>
      <c r="T531" s="53"/>
      <c r="U531" s="53">
        <f>Table1[[#This Row],[Summa]]+Table1[[#This Row],[I Muudatus]]+Table1[[#This Row],[II Muudatus]]</f>
        <v>1100</v>
      </c>
    </row>
    <row r="532" spans="1:21" ht="14.25" hidden="1" customHeight="1" x14ac:dyDescent="0.25">
      <c r="A532" s="42" t="s">
        <v>462</v>
      </c>
      <c r="B532" s="66">
        <v>11592</v>
      </c>
      <c r="C532" s="53">
        <v>5002</v>
      </c>
      <c r="D532" s="42" t="str">
        <f>LEFT(Table1[[#This Row],[Eelarvekonto]],2)</f>
        <v>50</v>
      </c>
      <c r="E532" s="41" t="str">
        <f>VLOOKUP(Table1[[#This Row],[Eelarvekonto]],Table5[[Konto]:[Konto nimetus]],2,FALSE)</f>
        <v>Töötajate töötasud</v>
      </c>
      <c r="F532" s="41" t="s">
        <v>139</v>
      </c>
      <c r="G532" s="41" t="s">
        <v>24</v>
      </c>
      <c r="H532" s="42"/>
      <c r="I532" s="42"/>
      <c r="J532" s="41" t="s">
        <v>206</v>
      </c>
      <c r="K532" s="41" t="s">
        <v>204</v>
      </c>
      <c r="L532" s="58" t="s">
        <v>205</v>
      </c>
      <c r="M532" s="58" t="str">
        <f>LEFT(Table1[[#This Row],[Tegevusala kood]],2)</f>
        <v>08</v>
      </c>
      <c r="N532" s="53" t="str">
        <f>VLOOKUP(Table1[[#This Row],[Tegevusala kood]],Table4[[Tegevusala kood]:[Tegevusala alanimetus]],2,FALSE)</f>
        <v>Roela Rahvamaja</v>
      </c>
      <c r="O532" s="42"/>
      <c r="P532" s="42"/>
      <c r="Q532" s="53" t="str">
        <f>VLOOKUP(Table1[[#This Row],[Eelarvekonto]],Table5[[Konto]:[Kontode alanimetus]],5,FALSE)</f>
        <v>Tööjõukulud</v>
      </c>
      <c r="R532" s="53" t="str">
        <f>VLOOKUP(Table1[[#This Row],[Tegevusala kood]],Table4[[Tegevusala kood]:[Tegevusala alanimetus]],4,FALSE)</f>
        <v>Rahvakultuur</v>
      </c>
      <c r="S532" s="53"/>
      <c r="T532" s="53"/>
      <c r="U532" s="53">
        <f>Table1[[#This Row],[Summa]]+Table1[[#This Row],[I Muudatus]]+Table1[[#This Row],[II Muudatus]]</f>
        <v>11592</v>
      </c>
    </row>
    <row r="533" spans="1:21" ht="14.25" hidden="1" customHeight="1" x14ac:dyDescent="0.25">
      <c r="A533" s="41" t="s">
        <v>149</v>
      </c>
      <c r="B533" s="41">
        <v>4740</v>
      </c>
      <c r="C533" s="52">
        <v>551101</v>
      </c>
      <c r="D533" s="52" t="str">
        <f>LEFT(Table1[[#This Row],[Eelarvekonto]],2)</f>
        <v>55</v>
      </c>
      <c r="E533" s="41" t="str">
        <f>VLOOKUP(Table1[[#This Row],[Eelarvekonto]],Table5[[Konto]:[Konto nimetus]],2,FALSE)</f>
        <v>Elekter</v>
      </c>
      <c r="F533" s="41" t="s">
        <v>139</v>
      </c>
      <c r="G533" s="41" t="s">
        <v>24</v>
      </c>
      <c r="J533" s="41" t="s">
        <v>206</v>
      </c>
      <c r="K533" s="41" t="s">
        <v>204</v>
      </c>
      <c r="L533" s="58" t="s">
        <v>205</v>
      </c>
      <c r="M533" s="58" t="str">
        <f>LEFT(Table1[[#This Row],[Tegevusala kood]],2)</f>
        <v>08</v>
      </c>
      <c r="N533" s="41" t="str">
        <f>VLOOKUP(Table1[[#This Row],[Tegevusala kood]],Table4[[Tegevusala kood]:[Tegevusala alanimetus]],2,FALSE)</f>
        <v>Roela Rahvamaja</v>
      </c>
      <c r="O533" s="41" t="s">
        <v>1</v>
      </c>
      <c r="P533" s="41" t="s">
        <v>1</v>
      </c>
      <c r="Q533" s="41" t="str">
        <f>VLOOKUP(Table1[[#This Row],[Eelarvekonto]],Table5[[Konto]:[Kontode alanimetus]],5,FALSE)</f>
        <v>Majandamiskulud</v>
      </c>
      <c r="R533" s="42" t="str">
        <f>VLOOKUP(Table1[[#This Row],[Tegevusala kood]],Table4[[Tegevusala kood]:[Tegevusala alanimetus]],4,FALSE)</f>
        <v>Rahvakultuur</v>
      </c>
      <c r="S533" s="53"/>
      <c r="T533" s="53"/>
      <c r="U533" s="53">
        <f>Table1[[#This Row],[Summa]]+Table1[[#This Row],[I Muudatus]]+Table1[[#This Row],[II Muudatus]]</f>
        <v>4740</v>
      </c>
    </row>
    <row r="534" spans="1:21" ht="14.25" hidden="1" customHeight="1" x14ac:dyDescent="0.25">
      <c r="A534" s="41" t="s">
        <v>484</v>
      </c>
      <c r="B534" s="64">
        <v>204</v>
      </c>
      <c r="C534" s="52">
        <v>5511</v>
      </c>
      <c r="D534" s="52" t="str">
        <f>LEFT(Table1[[#This Row],[Eelarvekonto]],2)</f>
        <v>55</v>
      </c>
      <c r="E534" s="41" t="str">
        <f>VLOOKUP(Table1[[#This Row],[Eelarvekonto]],Table5[[Konto]:[Konto nimetus]],2,FALSE)</f>
        <v>Kinnistute, hoonete ja ruumide majandamiskulud</v>
      </c>
      <c r="F534" s="41" t="s">
        <v>139</v>
      </c>
      <c r="G534" s="41" t="s">
        <v>24</v>
      </c>
      <c r="J534" s="41" t="s">
        <v>206</v>
      </c>
      <c r="K534" s="41" t="s">
        <v>204</v>
      </c>
      <c r="L534" s="58" t="s">
        <v>205</v>
      </c>
      <c r="M534" s="58" t="str">
        <f>LEFT(Table1[[#This Row],[Tegevusala kood]],2)</f>
        <v>08</v>
      </c>
      <c r="N534" s="41" t="str">
        <f>VLOOKUP(Table1[[#This Row],[Tegevusala kood]],Table4[[Tegevusala kood]:[Tegevusala alanimetus]],2,FALSE)</f>
        <v>Roela Rahvamaja</v>
      </c>
      <c r="Q534" s="41" t="str">
        <f>VLOOKUP(Table1[[#This Row],[Eelarvekonto]],Table5[[Konto]:[Kontode alanimetus]],5,FALSE)</f>
        <v>Majandamiskulud</v>
      </c>
      <c r="R534" s="42" t="str">
        <f>VLOOKUP(Table1[[#This Row],[Tegevusala kood]],Table4[[Tegevusala kood]:[Tegevusala alanimetus]],4,FALSE)</f>
        <v>Rahvakultuur</v>
      </c>
      <c r="S534" s="53"/>
      <c r="T534" s="53"/>
      <c r="U534" s="53">
        <f>Table1[[#This Row],[Summa]]+Table1[[#This Row],[I Muudatus]]+Table1[[#This Row],[II Muudatus]]</f>
        <v>204</v>
      </c>
    </row>
    <row r="535" spans="1:21" ht="14.25" hidden="1" customHeight="1" x14ac:dyDescent="0.25">
      <c r="A535" s="41" t="s">
        <v>486</v>
      </c>
      <c r="B535" s="64">
        <v>460.16</v>
      </c>
      <c r="C535" s="52">
        <v>5511</v>
      </c>
      <c r="D535" s="52" t="str">
        <f>LEFT(Table1[[#This Row],[Eelarvekonto]],2)</f>
        <v>55</v>
      </c>
      <c r="E535" s="41" t="str">
        <f>VLOOKUP(Table1[[#This Row],[Eelarvekonto]],Table5[[Konto]:[Konto nimetus]],2,FALSE)</f>
        <v>Kinnistute, hoonete ja ruumide majandamiskulud</v>
      </c>
      <c r="F535" s="41" t="s">
        <v>139</v>
      </c>
      <c r="G535" s="41" t="s">
        <v>24</v>
      </c>
      <c r="J535" s="41" t="s">
        <v>206</v>
      </c>
      <c r="K535" s="41" t="s">
        <v>204</v>
      </c>
      <c r="L535" s="58" t="s">
        <v>205</v>
      </c>
      <c r="M535" s="58" t="str">
        <f>LEFT(Table1[[#This Row],[Tegevusala kood]],2)</f>
        <v>08</v>
      </c>
      <c r="N535" s="41" t="str">
        <f>VLOOKUP(Table1[[#This Row],[Tegevusala kood]],Table4[[Tegevusala kood]:[Tegevusala alanimetus]],2,FALSE)</f>
        <v>Roela Rahvamaja</v>
      </c>
      <c r="Q535" s="41" t="str">
        <f>VLOOKUP(Table1[[#This Row],[Eelarvekonto]],Table5[[Konto]:[Kontode alanimetus]],5,FALSE)</f>
        <v>Majandamiskulud</v>
      </c>
      <c r="R535" s="42" t="str">
        <f>VLOOKUP(Table1[[#This Row],[Tegevusala kood]],Table4[[Tegevusala kood]:[Tegevusala alanimetus]],4,FALSE)</f>
        <v>Rahvakultuur</v>
      </c>
      <c r="S535" s="53"/>
      <c r="T535" s="53"/>
      <c r="U535" s="53">
        <f>Table1[[#This Row],[Summa]]+Table1[[#This Row],[I Muudatus]]+Table1[[#This Row],[II Muudatus]]</f>
        <v>460.16</v>
      </c>
    </row>
    <row r="536" spans="1:21" ht="14.25" hidden="1" customHeight="1" x14ac:dyDescent="0.25">
      <c r="A536" s="41" t="s">
        <v>485</v>
      </c>
      <c r="B536" s="41">
        <v>1920</v>
      </c>
      <c r="C536" s="52">
        <v>5511</v>
      </c>
      <c r="D536" s="52" t="str">
        <f>LEFT(Table1[[#This Row],[Eelarvekonto]],2)</f>
        <v>55</v>
      </c>
      <c r="E536" s="41" t="str">
        <f>VLOOKUP(Table1[[#This Row],[Eelarvekonto]],Table5[[Konto]:[Konto nimetus]],2,FALSE)</f>
        <v>Kinnistute, hoonete ja ruumide majandamiskulud</v>
      </c>
      <c r="F536" s="41" t="s">
        <v>139</v>
      </c>
      <c r="G536" s="41" t="s">
        <v>24</v>
      </c>
      <c r="J536" s="41" t="s">
        <v>206</v>
      </c>
      <c r="K536" s="41" t="s">
        <v>204</v>
      </c>
      <c r="L536" s="58" t="s">
        <v>205</v>
      </c>
      <c r="M536" s="58" t="str">
        <f>LEFT(Table1[[#This Row],[Tegevusala kood]],2)</f>
        <v>08</v>
      </c>
      <c r="N536" s="41" t="str">
        <f>VLOOKUP(Table1[[#This Row],[Tegevusala kood]],Table4[[Tegevusala kood]:[Tegevusala alanimetus]],2,FALSE)</f>
        <v>Roela Rahvamaja</v>
      </c>
      <c r="O536" s="41" t="s">
        <v>1</v>
      </c>
      <c r="P536" s="41" t="s">
        <v>1</v>
      </c>
      <c r="Q536" s="41" t="str">
        <f>VLOOKUP(Table1[[#This Row],[Eelarvekonto]],Table5[[Konto]:[Kontode alanimetus]],5,FALSE)</f>
        <v>Majandamiskulud</v>
      </c>
      <c r="R536" s="42" t="str">
        <f>VLOOKUP(Table1[[#This Row],[Tegevusala kood]],Table4[[Tegevusala kood]:[Tegevusala alanimetus]],4,FALSE)</f>
        <v>Rahvakultuur</v>
      </c>
      <c r="S536" s="53"/>
      <c r="T536" s="53"/>
      <c r="U536" s="53">
        <f>Table1[[#This Row],[Summa]]+Table1[[#This Row],[I Muudatus]]+Table1[[#This Row],[II Muudatus]]</f>
        <v>1920</v>
      </c>
    </row>
    <row r="537" spans="1:21" ht="14.25" hidden="1" customHeight="1" x14ac:dyDescent="0.25">
      <c r="A537" s="41" t="s">
        <v>148</v>
      </c>
      <c r="B537" s="41">
        <v>18000</v>
      </c>
      <c r="C537" s="52">
        <v>551100</v>
      </c>
      <c r="D537" s="52" t="str">
        <f>LEFT(Table1[[#This Row],[Eelarvekonto]],2)</f>
        <v>55</v>
      </c>
      <c r="E537" s="41" t="str">
        <f>VLOOKUP(Table1[[#This Row],[Eelarvekonto]],Table5[[Konto]:[Konto nimetus]],2,FALSE)</f>
        <v>Küte ja soojusenergia</v>
      </c>
      <c r="F537" s="41" t="s">
        <v>139</v>
      </c>
      <c r="G537" s="41" t="s">
        <v>24</v>
      </c>
      <c r="J537" s="41" t="s">
        <v>206</v>
      </c>
      <c r="K537" s="41" t="s">
        <v>204</v>
      </c>
      <c r="L537" s="58" t="s">
        <v>205</v>
      </c>
      <c r="M537" s="58" t="str">
        <f>LEFT(Table1[[#This Row],[Tegevusala kood]],2)</f>
        <v>08</v>
      </c>
      <c r="N537" s="41" t="str">
        <f>VLOOKUP(Table1[[#This Row],[Tegevusala kood]],Table4[[Tegevusala kood]:[Tegevusala alanimetus]],2,FALSE)</f>
        <v>Roela Rahvamaja</v>
      </c>
      <c r="O537" s="41" t="s">
        <v>1</v>
      </c>
      <c r="P537" s="41" t="s">
        <v>1</v>
      </c>
      <c r="Q537" s="41" t="str">
        <f>VLOOKUP(Table1[[#This Row],[Eelarvekonto]],Table5[[Konto]:[Kontode alanimetus]],5,FALSE)</f>
        <v>Majandamiskulud</v>
      </c>
      <c r="R537" s="42" t="str">
        <f>VLOOKUP(Table1[[#This Row],[Tegevusala kood]],Table4[[Tegevusala kood]:[Tegevusala alanimetus]],4,FALSE)</f>
        <v>Rahvakultuur</v>
      </c>
      <c r="S537" s="53"/>
      <c r="T537" s="53"/>
      <c r="U537" s="53">
        <f>Table1[[#This Row],[Summa]]+Table1[[#This Row],[I Muudatus]]+Table1[[#This Row],[II Muudatus]]</f>
        <v>18000</v>
      </c>
    </row>
    <row r="538" spans="1:21" ht="14.25" hidden="1" customHeight="1" x14ac:dyDescent="0.25">
      <c r="A538" s="41" t="s">
        <v>158</v>
      </c>
      <c r="B538" s="41">
        <v>51492.6</v>
      </c>
      <c r="C538" s="52">
        <v>506</v>
      </c>
      <c r="D538" s="52" t="str">
        <f>LEFT(Table1[[#This Row],[Eelarvekonto]],2)</f>
        <v>50</v>
      </c>
      <c r="E538" s="41" t="str">
        <f>VLOOKUP(Table1[[#This Row],[Eelarvekonto]],Table5[[Konto]:[Konto nimetus]],2,FALSE)</f>
        <v>Tööjõukuludega kaasnevad maksud ja sotsiaalkindlustusmaksed</v>
      </c>
      <c r="F538" s="41" t="s">
        <v>139</v>
      </c>
      <c r="G538" s="41" t="s">
        <v>24</v>
      </c>
      <c r="J538" s="41" t="s">
        <v>147</v>
      </c>
      <c r="K538" s="41" t="s">
        <v>145</v>
      </c>
      <c r="L538" s="58" t="s">
        <v>146</v>
      </c>
      <c r="M538" s="58" t="str">
        <f>LEFT(Table1[[#This Row],[Tegevusala kood]],2)</f>
        <v>10</v>
      </c>
      <c r="N538" s="41" t="str">
        <f>VLOOKUP(Table1[[#This Row],[Tegevusala kood]],Table4[[Tegevusala kood]:[Tegevusala alanimetus]],2,FALSE)</f>
        <v>Ulvi Kodu</v>
      </c>
      <c r="O538" s="41" t="s">
        <v>1</v>
      </c>
      <c r="P538" s="41" t="s">
        <v>1</v>
      </c>
      <c r="Q538" s="41" t="str">
        <f>VLOOKUP(Table1[[#This Row],[Eelarvekonto]],Table5[[Konto]:[Kontode alanimetus]],5,FALSE)</f>
        <v>Tööjõukulud</v>
      </c>
      <c r="R538" s="42" t="str">
        <f>VLOOKUP(Table1[[#This Row],[Tegevusala kood]],Table4[[Tegevusala kood]:[Tegevusala alanimetus]],4,FALSE)</f>
        <v>Eakate sotsiaalhoolekande asutused</v>
      </c>
      <c r="S538" s="60"/>
      <c r="T538" s="53"/>
      <c r="U538" s="53">
        <f>Table1[[#This Row],[Summa]]+Table1[[#This Row],[I Muudatus]]+Table1[[#This Row],[II Muudatus]]</f>
        <v>51492.6</v>
      </c>
    </row>
    <row r="539" spans="1:21" ht="14.25" hidden="1" customHeight="1" x14ac:dyDescent="0.25">
      <c r="A539" s="41" t="s">
        <v>155</v>
      </c>
      <c r="B539" s="41">
        <v>75120</v>
      </c>
      <c r="C539" s="52">
        <v>5002</v>
      </c>
      <c r="D539" s="52" t="str">
        <f>LEFT(Table1[[#This Row],[Eelarvekonto]],2)</f>
        <v>50</v>
      </c>
      <c r="E539" s="41" t="str">
        <f>VLOOKUP(Table1[[#This Row],[Eelarvekonto]],Table5[[Konto]:[Konto nimetus]],2,FALSE)</f>
        <v>Töötajate töötasud</v>
      </c>
      <c r="F539" s="41" t="s">
        <v>139</v>
      </c>
      <c r="G539" s="41" t="s">
        <v>24</v>
      </c>
      <c r="J539" s="41" t="s">
        <v>147</v>
      </c>
      <c r="K539" s="41" t="s">
        <v>145</v>
      </c>
      <c r="L539" s="58" t="s">
        <v>146</v>
      </c>
      <c r="M539" s="58" t="str">
        <f>LEFT(Table1[[#This Row],[Tegevusala kood]],2)</f>
        <v>10</v>
      </c>
      <c r="N539" s="41" t="str">
        <f>VLOOKUP(Table1[[#This Row],[Tegevusala kood]],Table4[[Tegevusala kood]:[Tegevusala alanimetus]],2,FALSE)</f>
        <v>Ulvi Kodu</v>
      </c>
      <c r="O539" s="41" t="s">
        <v>1</v>
      </c>
      <c r="P539" s="41" t="s">
        <v>1</v>
      </c>
      <c r="Q539" s="41" t="str">
        <f>VLOOKUP(Table1[[#This Row],[Eelarvekonto]],Table5[[Konto]:[Kontode alanimetus]],5,FALSE)</f>
        <v>Tööjõukulud</v>
      </c>
      <c r="R539" s="42" t="str">
        <f>VLOOKUP(Table1[[#This Row],[Tegevusala kood]],Table4[[Tegevusala kood]:[Tegevusala alanimetus]],4,FALSE)</f>
        <v>Eakate sotsiaalhoolekande asutused</v>
      </c>
      <c r="S539" s="60"/>
      <c r="T539" s="53"/>
      <c r="U539" s="53">
        <f>Table1[[#This Row],[Summa]]+Table1[[#This Row],[I Muudatus]]+Table1[[#This Row],[II Muudatus]]</f>
        <v>75120</v>
      </c>
    </row>
    <row r="540" spans="1:21" ht="14.25" hidden="1" customHeight="1" x14ac:dyDescent="0.25">
      <c r="A540" s="41" t="s">
        <v>472</v>
      </c>
      <c r="B540" s="41">
        <v>1650</v>
      </c>
      <c r="C540" s="52">
        <v>5513081</v>
      </c>
      <c r="D540" s="52" t="str">
        <f>LEFT(Table1[[#This Row],[Eelarvekonto]],2)</f>
        <v>55</v>
      </c>
      <c r="E540" s="41" t="str">
        <f>VLOOKUP(Table1[[#This Row],[Eelarvekonto]],Table5[[Konto]:[Konto nimetus]],2,FALSE)</f>
        <v>Isikliku sõiduauto kompensatsioon</v>
      </c>
      <c r="F540" s="41" t="s">
        <v>139</v>
      </c>
      <c r="G540" s="41" t="s">
        <v>24</v>
      </c>
      <c r="J540" s="41" t="s">
        <v>147</v>
      </c>
      <c r="K540" s="41" t="s">
        <v>145</v>
      </c>
      <c r="L540" s="58" t="s">
        <v>146</v>
      </c>
      <c r="M540" s="58" t="str">
        <f>LEFT(Table1[[#This Row],[Tegevusala kood]],2)</f>
        <v>10</v>
      </c>
      <c r="N540" s="41" t="str">
        <f>VLOOKUP(Table1[[#This Row],[Tegevusala kood]],Table4[[Tegevusala kood]:[Tegevusala alanimetus]],2,FALSE)</f>
        <v>Ulvi Kodu</v>
      </c>
      <c r="O540" s="41" t="s">
        <v>1</v>
      </c>
      <c r="P540" s="41" t="s">
        <v>1</v>
      </c>
      <c r="Q540" s="41" t="str">
        <f>VLOOKUP(Table1[[#This Row],[Eelarvekonto]],Table5[[Konto]:[Kontode alanimetus]],5,FALSE)</f>
        <v>Majandamiskulud</v>
      </c>
      <c r="R540" s="42" t="str">
        <f>VLOOKUP(Table1[[#This Row],[Tegevusala kood]],Table4[[Tegevusala kood]:[Tegevusala alanimetus]],4,FALSE)</f>
        <v>Eakate sotsiaalhoolekande asutused</v>
      </c>
      <c r="S540" s="53"/>
      <c r="T540" s="53"/>
      <c r="U540" s="53">
        <f>Table1[[#This Row],[Summa]]+Table1[[#This Row],[I Muudatus]]+Table1[[#This Row],[II Muudatus]]</f>
        <v>1650</v>
      </c>
    </row>
    <row r="541" spans="1:21" ht="14.25" hidden="1" customHeight="1" x14ac:dyDescent="0.25">
      <c r="A541" s="41" t="s">
        <v>471</v>
      </c>
      <c r="B541" s="41">
        <v>3924</v>
      </c>
      <c r="C541" s="52">
        <v>5002</v>
      </c>
      <c r="D541" s="52" t="str">
        <f>LEFT(Table1[[#This Row],[Eelarvekonto]],2)</f>
        <v>50</v>
      </c>
      <c r="E541" s="41" t="str">
        <f>VLOOKUP(Table1[[#This Row],[Eelarvekonto]],Table5[[Konto]:[Konto nimetus]],2,FALSE)</f>
        <v>Töötajate töötasud</v>
      </c>
      <c r="F541" s="41" t="s">
        <v>139</v>
      </c>
      <c r="G541" s="41" t="s">
        <v>24</v>
      </c>
      <c r="J541" s="41" t="s">
        <v>147</v>
      </c>
      <c r="K541" s="41" t="s">
        <v>145</v>
      </c>
      <c r="L541" s="58" t="s">
        <v>146</v>
      </c>
      <c r="M541" s="58" t="str">
        <f>LEFT(Table1[[#This Row],[Tegevusala kood]],2)</f>
        <v>10</v>
      </c>
      <c r="N541" s="41" t="str">
        <f>VLOOKUP(Table1[[#This Row],[Tegevusala kood]],Table4[[Tegevusala kood]:[Tegevusala alanimetus]],2,FALSE)</f>
        <v>Ulvi Kodu</v>
      </c>
      <c r="O541" s="41" t="s">
        <v>1</v>
      </c>
      <c r="P541" s="41" t="s">
        <v>1</v>
      </c>
      <c r="Q541" s="41" t="str">
        <f>VLOOKUP(Table1[[#This Row],[Eelarvekonto]],Table5[[Konto]:[Kontode alanimetus]],5,FALSE)</f>
        <v>Tööjõukulud</v>
      </c>
      <c r="R541" s="42" t="str">
        <f>VLOOKUP(Table1[[#This Row],[Tegevusala kood]],Table4[[Tegevusala kood]:[Tegevusala alanimetus]],4,FALSE)</f>
        <v>Eakate sotsiaalhoolekande asutused</v>
      </c>
      <c r="S541" s="53"/>
      <c r="T541" s="53"/>
      <c r="U541" s="53">
        <f>Table1[[#This Row],[Summa]]+Table1[[#This Row],[I Muudatus]]+Table1[[#This Row],[II Muudatus]]</f>
        <v>3924</v>
      </c>
    </row>
    <row r="542" spans="1:21" ht="14.25" hidden="1" customHeight="1" x14ac:dyDescent="0.25">
      <c r="A542" s="41" t="s">
        <v>470</v>
      </c>
      <c r="B542" s="41">
        <v>8688</v>
      </c>
      <c r="C542" s="52">
        <v>5002</v>
      </c>
      <c r="D542" s="52" t="str">
        <f>LEFT(Table1[[#This Row],[Eelarvekonto]],2)</f>
        <v>50</v>
      </c>
      <c r="E542" s="41" t="str">
        <f>VLOOKUP(Table1[[#This Row],[Eelarvekonto]],Table5[[Konto]:[Konto nimetus]],2,FALSE)</f>
        <v>Töötajate töötasud</v>
      </c>
      <c r="F542" s="41" t="s">
        <v>139</v>
      </c>
      <c r="G542" s="41" t="s">
        <v>24</v>
      </c>
      <c r="J542" s="41" t="s">
        <v>280</v>
      </c>
      <c r="K542" s="41" t="s">
        <v>109</v>
      </c>
      <c r="L542" s="58" t="s">
        <v>279</v>
      </c>
      <c r="M542" s="58" t="str">
        <f>LEFT(Table1[[#This Row],[Tegevusala kood]],2)</f>
        <v>09</v>
      </c>
      <c r="N542" s="41" t="str">
        <f>VLOOKUP(Table1[[#This Row],[Tegevusala kood]],Table4[[Tegevusala kood]:[Tegevusala alanimetus]],2,FALSE)</f>
        <v>Laekvere Kool</v>
      </c>
      <c r="O542" s="41" t="s">
        <v>1</v>
      </c>
      <c r="P542" s="41" t="s">
        <v>1</v>
      </c>
      <c r="Q542" s="41" t="str">
        <f>VLOOKUP(Table1[[#This Row],[Eelarvekonto]],Table5[[Konto]:[Kontode alanimetus]],5,FALSE)</f>
        <v>Tööjõukulud</v>
      </c>
      <c r="R542" s="42" t="str">
        <f>VLOOKUP(Table1[[#This Row],[Tegevusala kood]],Table4[[Tegevusala kood]:[Tegevusala alanimetus]],4,FALSE)</f>
        <v>Põhihariduse otsekulud</v>
      </c>
      <c r="S542" s="53"/>
      <c r="T542" s="53"/>
      <c r="U542" s="53">
        <f>Table1[[#This Row],[Summa]]+Table1[[#This Row],[I Muudatus]]+Table1[[#This Row],[II Muudatus]]</f>
        <v>8688</v>
      </c>
    </row>
    <row r="543" spans="1:21" ht="14.25" hidden="1" customHeight="1" x14ac:dyDescent="0.25">
      <c r="A543" s="42" t="s">
        <v>1456</v>
      </c>
      <c r="B543" s="42">
        <v>2400</v>
      </c>
      <c r="C543" s="42">
        <v>5002</v>
      </c>
      <c r="D543" s="53" t="str">
        <f>LEFT(Table1[[#This Row],[Eelarvekonto]],2)</f>
        <v>50</v>
      </c>
      <c r="E543" s="42" t="str">
        <f>VLOOKUP(Table1[[#This Row],[Eelarvekonto]],Table5[[Konto]:[Konto nimetus]],2,FALSE)</f>
        <v>Töötajate töötasud</v>
      </c>
      <c r="F543" s="98" t="s">
        <v>139</v>
      </c>
      <c r="G543" s="42" t="s">
        <v>24</v>
      </c>
      <c r="H543" s="42"/>
      <c r="I543" s="42"/>
      <c r="J543" s="42" t="s">
        <v>306</v>
      </c>
      <c r="K543" s="42" t="s">
        <v>304</v>
      </c>
      <c r="L543" s="62" t="s">
        <v>305</v>
      </c>
      <c r="M543" s="100" t="str">
        <f>LEFT(Table1[[#This Row],[Tegevusala kood]],2)</f>
        <v>09</v>
      </c>
      <c r="N543" s="53" t="str">
        <f>VLOOKUP(Table1[[#This Row],[Tegevusala kood]],Table4[[Tegevusala kood]:[Tegevusala alanimetus]],2,FALSE)</f>
        <v>Vinni Lasteaed</v>
      </c>
      <c r="O543" s="42"/>
      <c r="P543" s="42"/>
      <c r="Q543" s="53" t="str">
        <f>VLOOKUP(Table1[[#This Row],[Eelarvekonto]],Table5[[Konto]:[Kontode alanimetus]],5,FALSE)</f>
        <v>Tööjõukulud</v>
      </c>
      <c r="R543" s="53" t="str">
        <f>VLOOKUP(Table1[[#This Row],[Tegevusala kood]],Table4[[Tegevusala kood]:[Tegevusala alanimetus]],4,FALSE)</f>
        <v>Alusharidus</v>
      </c>
      <c r="S543" s="53"/>
      <c r="T543" s="53"/>
      <c r="U543" s="53">
        <f>Table1[[#This Row],[Summa]]+Table1[[#This Row],[I Muudatus]]+Table1[[#This Row],[II Muudatus]]</f>
        <v>2400</v>
      </c>
    </row>
    <row r="544" spans="1:21" ht="14.25" hidden="1" customHeight="1" x14ac:dyDescent="0.25">
      <c r="A544" s="41" t="s">
        <v>469</v>
      </c>
      <c r="B544" s="41">
        <v>9360</v>
      </c>
      <c r="C544" s="52">
        <v>5002</v>
      </c>
      <c r="D544" s="52" t="str">
        <f>LEFT(Table1[[#This Row],[Eelarvekonto]],2)</f>
        <v>50</v>
      </c>
      <c r="E544" s="41" t="str">
        <f>VLOOKUP(Table1[[#This Row],[Eelarvekonto]],Table5[[Konto]:[Konto nimetus]],2,FALSE)</f>
        <v>Töötajate töötasud</v>
      </c>
      <c r="F544" s="41" t="s">
        <v>139</v>
      </c>
      <c r="G544" s="41" t="s">
        <v>24</v>
      </c>
      <c r="J544" s="41" t="s">
        <v>147</v>
      </c>
      <c r="K544" s="41" t="s">
        <v>145</v>
      </c>
      <c r="L544" s="58" t="s">
        <v>146</v>
      </c>
      <c r="M544" s="58" t="str">
        <f>LEFT(Table1[[#This Row],[Tegevusala kood]],2)</f>
        <v>10</v>
      </c>
      <c r="N544" s="41" t="str">
        <f>VLOOKUP(Table1[[#This Row],[Tegevusala kood]],Table4[[Tegevusala kood]:[Tegevusala alanimetus]],2,FALSE)</f>
        <v>Ulvi Kodu</v>
      </c>
      <c r="O544" s="41" t="s">
        <v>1</v>
      </c>
      <c r="P544" s="41" t="s">
        <v>1</v>
      </c>
      <c r="Q544" s="41" t="str">
        <f>VLOOKUP(Table1[[#This Row],[Eelarvekonto]],Table5[[Konto]:[Kontode alanimetus]],5,FALSE)</f>
        <v>Tööjõukulud</v>
      </c>
      <c r="R544" s="42" t="str">
        <f>VLOOKUP(Table1[[#This Row],[Tegevusala kood]],Table4[[Tegevusala kood]:[Tegevusala alanimetus]],4,FALSE)</f>
        <v>Eakate sotsiaalhoolekande asutused</v>
      </c>
      <c r="S544" s="53"/>
      <c r="T544" s="53"/>
      <c r="U544" s="53">
        <f>Table1[[#This Row],[Summa]]+Table1[[#This Row],[I Muudatus]]+Table1[[#This Row],[II Muudatus]]</f>
        <v>9360</v>
      </c>
    </row>
    <row r="545" spans="1:21" ht="14.25" hidden="1" customHeight="1" x14ac:dyDescent="0.25">
      <c r="A545" s="41" t="s">
        <v>462</v>
      </c>
      <c r="B545" s="41">
        <v>15648</v>
      </c>
      <c r="C545" s="52">
        <v>5002</v>
      </c>
      <c r="D545" s="52" t="str">
        <f>LEFT(Table1[[#This Row],[Eelarvekonto]],2)</f>
        <v>50</v>
      </c>
      <c r="E545" s="41" t="str">
        <f>VLOOKUP(Table1[[#This Row],[Eelarvekonto]],Table5[[Konto]:[Konto nimetus]],2,FALSE)</f>
        <v>Töötajate töötasud</v>
      </c>
      <c r="F545" s="41" t="s">
        <v>139</v>
      </c>
      <c r="G545" s="41" t="s">
        <v>24</v>
      </c>
      <c r="J545" s="41" t="s">
        <v>147</v>
      </c>
      <c r="K545" s="41" t="s">
        <v>145</v>
      </c>
      <c r="L545" s="58" t="s">
        <v>146</v>
      </c>
      <c r="M545" s="58" t="str">
        <f>LEFT(Table1[[#This Row],[Tegevusala kood]],2)</f>
        <v>10</v>
      </c>
      <c r="N545" s="41" t="str">
        <f>VLOOKUP(Table1[[#This Row],[Tegevusala kood]],Table4[[Tegevusala kood]:[Tegevusala alanimetus]],2,FALSE)</f>
        <v>Ulvi Kodu</v>
      </c>
      <c r="O545" s="41" t="s">
        <v>1</v>
      </c>
      <c r="P545" s="41" t="s">
        <v>1</v>
      </c>
      <c r="Q545" s="41" t="str">
        <f>VLOOKUP(Table1[[#This Row],[Eelarvekonto]],Table5[[Konto]:[Kontode alanimetus]],5,FALSE)</f>
        <v>Tööjõukulud</v>
      </c>
      <c r="R545" s="42" t="str">
        <f>VLOOKUP(Table1[[#This Row],[Tegevusala kood]],Table4[[Tegevusala kood]:[Tegevusala alanimetus]],4,FALSE)</f>
        <v>Eakate sotsiaalhoolekande asutused</v>
      </c>
      <c r="S545" s="53"/>
      <c r="T545" s="53"/>
      <c r="U545" s="53">
        <f>Table1[[#This Row],[Summa]]+Table1[[#This Row],[I Muudatus]]+Table1[[#This Row],[II Muudatus]]</f>
        <v>15648</v>
      </c>
    </row>
    <row r="546" spans="1:21" ht="14.25" hidden="1" customHeight="1" x14ac:dyDescent="0.25">
      <c r="A546" s="41" t="s">
        <v>461</v>
      </c>
      <c r="B546" s="41">
        <v>10560</v>
      </c>
      <c r="C546" s="52">
        <v>5002</v>
      </c>
      <c r="D546" s="52" t="str">
        <f>LEFT(Table1[[#This Row],[Eelarvekonto]],2)</f>
        <v>50</v>
      </c>
      <c r="E546" s="41" t="str">
        <f>VLOOKUP(Table1[[#This Row],[Eelarvekonto]],Table5[[Konto]:[Konto nimetus]],2,FALSE)</f>
        <v>Töötajate töötasud</v>
      </c>
      <c r="F546" s="41" t="s">
        <v>139</v>
      </c>
      <c r="G546" s="41" t="s">
        <v>24</v>
      </c>
      <c r="J546" s="41" t="s">
        <v>147</v>
      </c>
      <c r="K546" s="41" t="s">
        <v>145</v>
      </c>
      <c r="L546" s="58" t="s">
        <v>146</v>
      </c>
      <c r="M546" s="58" t="str">
        <f>LEFT(Table1[[#This Row],[Tegevusala kood]],2)</f>
        <v>10</v>
      </c>
      <c r="N546" s="41" t="str">
        <f>VLOOKUP(Table1[[#This Row],[Tegevusala kood]],Table4[[Tegevusala kood]:[Tegevusala alanimetus]],2,FALSE)</f>
        <v>Ulvi Kodu</v>
      </c>
      <c r="O546" s="41" t="s">
        <v>1</v>
      </c>
      <c r="P546" s="41" t="s">
        <v>1</v>
      </c>
      <c r="Q546" s="41" t="str">
        <f>VLOOKUP(Table1[[#This Row],[Eelarvekonto]],Table5[[Konto]:[Kontode alanimetus]],5,FALSE)</f>
        <v>Tööjõukulud</v>
      </c>
      <c r="R546" s="42" t="str">
        <f>VLOOKUP(Table1[[#This Row],[Tegevusala kood]],Table4[[Tegevusala kood]:[Tegevusala alanimetus]],4,FALSE)</f>
        <v>Eakate sotsiaalhoolekande asutused</v>
      </c>
      <c r="S546" s="53"/>
      <c r="T546" s="53"/>
      <c r="U546" s="53">
        <f>Table1[[#This Row],[Summa]]+Table1[[#This Row],[I Muudatus]]+Table1[[#This Row],[II Muudatus]]</f>
        <v>10560</v>
      </c>
    </row>
    <row r="547" spans="1:21" ht="14.25" hidden="1" customHeight="1" x14ac:dyDescent="0.25">
      <c r="A547" s="41" t="s">
        <v>570</v>
      </c>
      <c r="B547" s="41">
        <v>857.52</v>
      </c>
      <c r="C547" s="52">
        <v>5514</v>
      </c>
      <c r="D547" s="52" t="str">
        <f>LEFT(Table1[[#This Row],[Eelarvekonto]],2)</f>
        <v>55</v>
      </c>
      <c r="E547" s="41" t="str">
        <f>VLOOKUP(Table1[[#This Row],[Eelarvekonto]],Table5[[Konto]:[Konto nimetus]],2,FALSE)</f>
        <v>Info- ja kommunikatsioonitehnoloogia kulud</v>
      </c>
      <c r="F547" s="41" t="s">
        <v>139</v>
      </c>
      <c r="G547" s="41" t="s">
        <v>24</v>
      </c>
      <c r="J547" s="41" t="s">
        <v>191</v>
      </c>
      <c r="K547" s="41" t="s">
        <v>99</v>
      </c>
      <c r="L547" s="58" t="s">
        <v>190</v>
      </c>
      <c r="M547" s="58" t="str">
        <f>LEFT(Table1[[#This Row],[Tegevusala kood]],2)</f>
        <v>08</v>
      </c>
      <c r="N547" s="41" t="str">
        <f>VLOOKUP(Table1[[#This Row],[Tegevusala kood]],Table4[[Tegevusala kood]:[Tegevusala alanimetus]],2,FALSE)</f>
        <v>Venevere Seltsimaja</v>
      </c>
      <c r="O547" s="41" t="s">
        <v>1</v>
      </c>
      <c r="P547" s="41" t="s">
        <v>1</v>
      </c>
      <c r="Q547" s="41" t="str">
        <f>VLOOKUP(Table1[[#This Row],[Eelarvekonto]],Table5[[Konto]:[Kontode alanimetus]],5,FALSE)</f>
        <v>Majandamiskulud</v>
      </c>
      <c r="R547" s="42" t="str">
        <f>VLOOKUP(Table1[[#This Row],[Tegevusala kood]],Table4[[Tegevusala kood]:[Tegevusala alanimetus]],4,FALSE)</f>
        <v>Rahvakultuur</v>
      </c>
      <c r="S547" s="53"/>
      <c r="T547" s="53"/>
      <c r="U547" s="53">
        <f>Table1[[#This Row],[Summa]]+Table1[[#This Row],[I Muudatus]]+Table1[[#This Row],[II Muudatus]]</f>
        <v>857.52</v>
      </c>
    </row>
    <row r="548" spans="1:21" ht="14.25" hidden="1" customHeight="1" x14ac:dyDescent="0.25">
      <c r="A548" s="41" t="s">
        <v>462</v>
      </c>
      <c r="B548" s="41">
        <v>8280</v>
      </c>
      <c r="C548" s="52">
        <v>5002</v>
      </c>
      <c r="D548" s="52" t="str">
        <f>LEFT(Table1[[#This Row],[Eelarvekonto]],2)</f>
        <v>50</v>
      </c>
      <c r="E548" s="41" t="str">
        <f>VLOOKUP(Table1[[#This Row],[Eelarvekonto]],Table5[[Konto]:[Konto nimetus]],2,FALSE)</f>
        <v>Töötajate töötasud</v>
      </c>
      <c r="F548" s="41" t="s">
        <v>139</v>
      </c>
      <c r="G548" s="41" t="s">
        <v>24</v>
      </c>
      <c r="J548" s="41" t="s">
        <v>191</v>
      </c>
      <c r="K548" s="41" t="s">
        <v>99</v>
      </c>
      <c r="L548" s="58" t="s">
        <v>190</v>
      </c>
      <c r="M548" s="58" t="str">
        <f>LEFT(Table1[[#This Row],[Tegevusala kood]],2)</f>
        <v>08</v>
      </c>
      <c r="N548" s="41" t="str">
        <f>VLOOKUP(Table1[[#This Row],[Tegevusala kood]],Table4[[Tegevusala kood]:[Tegevusala alanimetus]],2,FALSE)</f>
        <v>Venevere Seltsimaja</v>
      </c>
      <c r="O548" s="41" t="s">
        <v>1</v>
      </c>
      <c r="P548" s="41" t="s">
        <v>1</v>
      </c>
      <c r="Q548" s="41" t="str">
        <f>VLOOKUP(Table1[[#This Row],[Eelarvekonto]],Table5[[Konto]:[Kontode alanimetus]],5,FALSE)</f>
        <v>Tööjõukulud</v>
      </c>
      <c r="R548" s="42" t="str">
        <f>VLOOKUP(Table1[[#This Row],[Tegevusala kood]],Table4[[Tegevusala kood]:[Tegevusala alanimetus]],4,FALSE)</f>
        <v>Rahvakultuur</v>
      </c>
      <c r="S548" s="53"/>
      <c r="T548" s="53"/>
      <c r="U548" s="53">
        <f>Table1[[#This Row],[Summa]]+Table1[[#This Row],[I Muudatus]]+Table1[[#This Row],[II Muudatus]]</f>
        <v>8280</v>
      </c>
    </row>
    <row r="549" spans="1:21" ht="14.25" hidden="1" customHeight="1" x14ac:dyDescent="0.25">
      <c r="A549" s="41" t="s">
        <v>158</v>
      </c>
      <c r="B549" s="41">
        <v>3005.5</v>
      </c>
      <c r="C549" s="52">
        <v>506</v>
      </c>
      <c r="D549" s="52" t="str">
        <f>LEFT(Table1[[#This Row],[Eelarvekonto]],2)</f>
        <v>50</v>
      </c>
      <c r="E549" s="41" t="str">
        <f>VLOOKUP(Table1[[#This Row],[Eelarvekonto]],Table5[[Konto]:[Konto nimetus]],2,FALSE)</f>
        <v>Tööjõukuludega kaasnevad maksud ja sotsiaalkindlustusmaksed</v>
      </c>
      <c r="F549" s="41" t="s">
        <v>139</v>
      </c>
      <c r="G549" s="41" t="s">
        <v>24</v>
      </c>
      <c r="J549" s="41" t="s">
        <v>191</v>
      </c>
      <c r="K549" s="41" t="s">
        <v>99</v>
      </c>
      <c r="L549" s="58" t="s">
        <v>190</v>
      </c>
      <c r="M549" s="58" t="str">
        <f>LEFT(Table1[[#This Row],[Tegevusala kood]],2)</f>
        <v>08</v>
      </c>
      <c r="N549" s="41" t="str">
        <f>VLOOKUP(Table1[[#This Row],[Tegevusala kood]],Table4[[Tegevusala kood]:[Tegevusala alanimetus]],2,FALSE)</f>
        <v>Venevere Seltsimaja</v>
      </c>
      <c r="O549" s="41" t="s">
        <v>1</v>
      </c>
      <c r="P549" s="41" t="s">
        <v>1</v>
      </c>
      <c r="Q549" s="41" t="str">
        <f>VLOOKUP(Table1[[#This Row],[Eelarvekonto]],Table5[[Konto]:[Kontode alanimetus]],5,FALSE)</f>
        <v>Tööjõukulud</v>
      </c>
      <c r="R549" s="42" t="str">
        <f>VLOOKUP(Table1[[#This Row],[Tegevusala kood]],Table4[[Tegevusala kood]:[Tegevusala alanimetus]],4,FALSE)</f>
        <v>Rahvakultuur</v>
      </c>
      <c r="S549" s="53"/>
      <c r="T549" s="53"/>
      <c r="U549" s="53">
        <f>Table1[[#This Row],[Summa]]+Table1[[#This Row],[I Muudatus]]+Table1[[#This Row],[II Muudatus]]</f>
        <v>3005.5</v>
      </c>
    </row>
    <row r="550" spans="1:21" ht="14.25" hidden="1" customHeight="1" x14ac:dyDescent="0.25">
      <c r="A550" s="41" t="s">
        <v>545</v>
      </c>
      <c r="B550" s="41">
        <v>612</v>
      </c>
      <c r="C550" s="52">
        <v>5005</v>
      </c>
      <c r="D550" s="52" t="str">
        <f>LEFT(Table1[[#This Row],[Eelarvekonto]],2)</f>
        <v>50</v>
      </c>
      <c r="E550" s="41" t="str">
        <f>VLOOKUP(Table1[[#This Row],[Eelarvekonto]],Table5[[Konto]:[Konto nimetus]],2,FALSE)</f>
        <v>Töötasud võlaõiguslike lepingute alusel</v>
      </c>
      <c r="F550" s="41" t="s">
        <v>139</v>
      </c>
      <c r="G550" s="41" t="s">
        <v>24</v>
      </c>
      <c r="J550" s="41" t="s">
        <v>191</v>
      </c>
      <c r="K550" s="41" t="s">
        <v>99</v>
      </c>
      <c r="L550" s="58" t="s">
        <v>190</v>
      </c>
      <c r="M550" s="58" t="str">
        <f>LEFT(Table1[[#This Row],[Tegevusala kood]],2)</f>
        <v>08</v>
      </c>
      <c r="N550" s="41" t="str">
        <f>VLOOKUP(Table1[[#This Row],[Tegevusala kood]],Table4[[Tegevusala kood]:[Tegevusala alanimetus]],2,FALSE)</f>
        <v>Venevere Seltsimaja</v>
      </c>
      <c r="O550" s="41" t="s">
        <v>1</v>
      </c>
      <c r="P550" s="41" t="s">
        <v>1</v>
      </c>
      <c r="Q550" s="41" t="str">
        <f>VLOOKUP(Table1[[#This Row],[Eelarvekonto]],Table5[[Konto]:[Kontode alanimetus]],5,FALSE)</f>
        <v>Tööjõukulud</v>
      </c>
      <c r="R550" s="42" t="str">
        <f>VLOOKUP(Table1[[#This Row],[Tegevusala kood]],Table4[[Tegevusala kood]:[Tegevusala alanimetus]],4,FALSE)</f>
        <v>Rahvakultuur</v>
      </c>
      <c r="S550" s="53"/>
      <c r="T550" s="53"/>
      <c r="U550" s="53">
        <f>Table1[[#This Row],[Summa]]+Table1[[#This Row],[I Muudatus]]+Table1[[#This Row],[II Muudatus]]</f>
        <v>612</v>
      </c>
    </row>
    <row r="551" spans="1:21" ht="14.25" hidden="1" customHeight="1" x14ac:dyDescent="0.25">
      <c r="A551" s="41" t="s">
        <v>149</v>
      </c>
      <c r="B551" s="41">
        <v>6540</v>
      </c>
      <c r="C551" s="52">
        <v>551101</v>
      </c>
      <c r="D551" s="52" t="str">
        <f>LEFT(Table1[[#This Row],[Eelarvekonto]],2)</f>
        <v>55</v>
      </c>
      <c r="E551" s="41" t="str">
        <f>VLOOKUP(Table1[[#This Row],[Eelarvekonto]],Table5[[Konto]:[Konto nimetus]],2,FALSE)</f>
        <v>Elekter</v>
      </c>
      <c r="F551" s="41" t="s">
        <v>139</v>
      </c>
      <c r="G551" s="41" t="s">
        <v>24</v>
      </c>
      <c r="J551" s="41" t="s">
        <v>191</v>
      </c>
      <c r="K551" s="41" t="s">
        <v>99</v>
      </c>
      <c r="L551" s="58" t="s">
        <v>190</v>
      </c>
      <c r="M551" s="58" t="str">
        <f>LEFT(Table1[[#This Row],[Tegevusala kood]],2)</f>
        <v>08</v>
      </c>
      <c r="N551" s="41" t="str">
        <f>VLOOKUP(Table1[[#This Row],[Tegevusala kood]],Table4[[Tegevusala kood]:[Tegevusala alanimetus]],2,FALSE)</f>
        <v>Venevere Seltsimaja</v>
      </c>
      <c r="O551" s="41" t="s">
        <v>1</v>
      </c>
      <c r="P551" s="41" t="s">
        <v>1</v>
      </c>
      <c r="Q551" s="41" t="str">
        <f>VLOOKUP(Table1[[#This Row],[Eelarvekonto]],Table5[[Konto]:[Kontode alanimetus]],5,FALSE)</f>
        <v>Majandamiskulud</v>
      </c>
      <c r="R551" s="42" t="str">
        <f>VLOOKUP(Table1[[#This Row],[Tegevusala kood]],Table4[[Tegevusala kood]:[Tegevusala alanimetus]],4,FALSE)</f>
        <v>Rahvakultuur</v>
      </c>
      <c r="S551" s="53"/>
      <c r="T551" s="53"/>
      <c r="U551" s="53">
        <f>Table1[[#This Row],[Summa]]+Table1[[#This Row],[I Muudatus]]+Table1[[#This Row],[II Muudatus]]</f>
        <v>6540</v>
      </c>
    </row>
    <row r="552" spans="1:21" ht="14.25" hidden="1" customHeight="1" x14ac:dyDescent="0.25">
      <c r="A552" s="41" t="s">
        <v>150</v>
      </c>
      <c r="B552" s="41">
        <v>396</v>
      </c>
      <c r="C552" s="52">
        <v>551102</v>
      </c>
      <c r="D552" s="52" t="str">
        <f>LEFT(Table1[[#This Row],[Eelarvekonto]],2)</f>
        <v>55</v>
      </c>
      <c r="E552" s="41" t="str">
        <f>VLOOKUP(Table1[[#This Row],[Eelarvekonto]],Table5[[Konto]:[Konto nimetus]],2,FALSE)</f>
        <v>Vesi ja kanalisatsioon</v>
      </c>
      <c r="F552" s="41" t="s">
        <v>139</v>
      </c>
      <c r="G552" s="41" t="s">
        <v>24</v>
      </c>
      <c r="J552" s="41" t="s">
        <v>191</v>
      </c>
      <c r="K552" s="41" t="s">
        <v>99</v>
      </c>
      <c r="L552" s="58" t="s">
        <v>190</v>
      </c>
      <c r="M552" s="58" t="str">
        <f>LEFT(Table1[[#This Row],[Tegevusala kood]],2)</f>
        <v>08</v>
      </c>
      <c r="N552" s="41" t="str">
        <f>VLOOKUP(Table1[[#This Row],[Tegevusala kood]],Table4[[Tegevusala kood]:[Tegevusala alanimetus]],2,FALSE)</f>
        <v>Venevere Seltsimaja</v>
      </c>
      <c r="O552" s="41" t="s">
        <v>1</v>
      </c>
      <c r="P552" s="41" t="s">
        <v>1</v>
      </c>
      <c r="Q552" s="41" t="str">
        <f>VLOOKUP(Table1[[#This Row],[Eelarvekonto]],Table5[[Konto]:[Kontode alanimetus]],5,FALSE)</f>
        <v>Majandamiskulud</v>
      </c>
      <c r="R552" s="42" t="str">
        <f>VLOOKUP(Table1[[#This Row],[Tegevusala kood]],Table4[[Tegevusala kood]:[Tegevusala alanimetus]],4,FALSE)</f>
        <v>Rahvakultuur</v>
      </c>
      <c r="S552" s="53"/>
      <c r="T552" s="53"/>
      <c r="U552" s="53">
        <f>Table1[[#This Row],[Summa]]+Table1[[#This Row],[I Muudatus]]+Table1[[#This Row],[II Muudatus]]</f>
        <v>396</v>
      </c>
    </row>
    <row r="553" spans="1:21" ht="14.25" hidden="1" customHeight="1" x14ac:dyDescent="0.25">
      <c r="A553" s="41" t="s">
        <v>196</v>
      </c>
      <c r="B553" s="41">
        <v>1500</v>
      </c>
      <c r="C553" s="52">
        <v>551100</v>
      </c>
      <c r="D553" s="52" t="str">
        <f>LEFT(Table1[[#This Row],[Eelarvekonto]],2)</f>
        <v>55</v>
      </c>
      <c r="E553" s="41" t="str">
        <f>VLOOKUP(Table1[[#This Row],[Eelarvekonto]],Table5[[Konto]:[Konto nimetus]],2,FALSE)</f>
        <v>Küte ja soojusenergia</v>
      </c>
      <c r="F553" s="41" t="s">
        <v>139</v>
      </c>
      <c r="G553" s="41" t="s">
        <v>24</v>
      </c>
      <c r="J553" s="41" t="s">
        <v>191</v>
      </c>
      <c r="K553" s="41" t="s">
        <v>99</v>
      </c>
      <c r="L553" s="58" t="s">
        <v>190</v>
      </c>
      <c r="M553" s="58" t="str">
        <f>LEFT(Table1[[#This Row],[Tegevusala kood]],2)</f>
        <v>08</v>
      </c>
      <c r="N553" s="41" t="str">
        <f>VLOOKUP(Table1[[#This Row],[Tegevusala kood]],Table4[[Tegevusala kood]:[Tegevusala alanimetus]],2,FALSE)</f>
        <v>Venevere Seltsimaja</v>
      </c>
      <c r="O553" s="41" t="s">
        <v>1</v>
      </c>
      <c r="P553" s="41" t="s">
        <v>1</v>
      </c>
      <c r="Q553" s="41" t="str">
        <f>VLOOKUP(Table1[[#This Row],[Eelarvekonto]],Table5[[Konto]:[Kontode alanimetus]],5,FALSE)</f>
        <v>Majandamiskulud</v>
      </c>
      <c r="R553" s="42" t="str">
        <f>VLOOKUP(Table1[[#This Row],[Tegevusala kood]],Table4[[Tegevusala kood]:[Tegevusala alanimetus]],4,FALSE)</f>
        <v>Rahvakultuur</v>
      </c>
      <c r="S553" s="53"/>
      <c r="T553" s="53"/>
      <c r="U553" s="53">
        <f>Table1[[#This Row],[Summa]]+Table1[[#This Row],[I Muudatus]]+Table1[[#This Row],[II Muudatus]]</f>
        <v>1500</v>
      </c>
    </row>
    <row r="554" spans="1:21" ht="14.25" hidden="1" customHeight="1" x14ac:dyDescent="0.25">
      <c r="A554" s="41" t="s">
        <v>480</v>
      </c>
      <c r="B554" s="41">
        <v>172.8</v>
      </c>
      <c r="C554" s="52">
        <v>5511</v>
      </c>
      <c r="D554" s="52" t="str">
        <f>LEFT(Table1[[#This Row],[Eelarvekonto]],2)</f>
        <v>55</v>
      </c>
      <c r="E554" s="41" t="str">
        <f>VLOOKUP(Table1[[#This Row],[Eelarvekonto]],Table5[[Konto]:[Konto nimetus]],2,FALSE)</f>
        <v>Kinnistute, hoonete ja ruumide majandamiskulud</v>
      </c>
      <c r="F554" s="41" t="s">
        <v>139</v>
      </c>
      <c r="G554" s="41" t="s">
        <v>24</v>
      </c>
      <c r="J554" s="41" t="s">
        <v>191</v>
      </c>
      <c r="K554" s="41" t="s">
        <v>99</v>
      </c>
      <c r="L554" s="58" t="s">
        <v>190</v>
      </c>
      <c r="M554" s="58" t="str">
        <f>LEFT(Table1[[#This Row],[Tegevusala kood]],2)</f>
        <v>08</v>
      </c>
      <c r="N554" s="41" t="str">
        <f>VLOOKUP(Table1[[#This Row],[Tegevusala kood]],Table4[[Tegevusala kood]:[Tegevusala alanimetus]],2,FALSE)</f>
        <v>Venevere Seltsimaja</v>
      </c>
      <c r="O554" s="41" t="s">
        <v>1</v>
      </c>
      <c r="P554" s="41" t="s">
        <v>1</v>
      </c>
      <c r="Q554" s="41" t="str">
        <f>VLOOKUP(Table1[[#This Row],[Eelarvekonto]],Table5[[Konto]:[Kontode alanimetus]],5,FALSE)</f>
        <v>Majandamiskulud</v>
      </c>
      <c r="R554" s="42" t="str">
        <f>VLOOKUP(Table1[[#This Row],[Tegevusala kood]],Table4[[Tegevusala kood]:[Tegevusala alanimetus]],4,FALSE)</f>
        <v>Rahvakultuur</v>
      </c>
      <c r="S554" s="53"/>
      <c r="T554" s="53"/>
      <c r="U554" s="53">
        <f>Table1[[#This Row],[Summa]]+Table1[[#This Row],[I Muudatus]]+Table1[[#This Row],[II Muudatus]]</f>
        <v>172.8</v>
      </c>
    </row>
    <row r="555" spans="1:21" ht="14.25" hidden="1" customHeight="1" x14ac:dyDescent="0.25">
      <c r="A555" s="41" t="s">
        <v>171</v>
      </c>
      <c r="B555" s="41">
        <v>264</v>
      </c>
      <c r="C555" s="52">
        <v>5511</v>
      </c>
      <c r="D555" s="52" t="str">
        <f>LEFT(Table1[[#This Row],[Eelarvekonto]],2)</f>
        <v>55</v>
      </c>
      <c r="E555" s="41" t="str">
        <f>VLOOKUP(Table1[[#This Row],[Eelarvekonto]],Table5[[Konto]:[Konto nimetus]],2,FALSE)</f>
        <v>Kinnistute, hoonete ja ruumide majandamiskulud</v>
      </c>
      <c r="F555" s="41" t="s">
        <v>139</v>
      </c>
      <c r="G555" s="41" t="s">
        <v>24</v>
      </c>
      <c r="J555" s="41" t="s">
        <v>191</v>
      </c>
      <c r="K555" s="41" t="s">
        <v>99</v>
      </c>
      <c r="L555" s="58" t="s">
        <v>190</v>
      </c>
      <c r="M555" s="58" t="str">
        <f>LEFT(Table1[[#This Row],[Tegevusala kood]],2)</f>
        <v>08</v>
      </c>
      <c r="N555" s="41" t="str">
        <f>VLOOKUP(Table1[[#This Row],[Tegevusala kood]],Table4[[Tegevusala kood]:[Tegevusala alanimetus]],2,FALSE)</f>
        <v>Venevere Seltsimaja</v>
      </c>
      <c r="O555" s="41" t="s">
        <v>1</v>
      </c>
      <c r="P555" s="41" t="s">
        <v>1</v>
      </c>
      <c r="Q555" s="41" t="str">
        <f>VLOOKUP(Table1[[#This Row],[Eelarvekonto]],Table5[[Konto]:[Kontode alanimetus]],5,FALSE)</f>
        <v>Majandamiskulud</v>
      </c>
      <c r="R555" s="42" t="str">
        <f>VLOOKUP(Table1[[#This Row],[Tegevusala kood]],Table4[[Tegevusala kood]:[Tegevusala alanimetus]],4,FALSE)</f>
        <v>Rahvakultuur</v>
      </c>
      <c r="S555" s="53"/>
      <c r="T555" s="53"/>
      <c r="U555" s="53">
        <f>Table1[[#This Row],[Summa]]+Table1[[#This Row],[I Muudatus]]+Table1[[#This Row],[II Muudatus]]</f>
        <v>264</v>
      </c>
    </row>
    <row r="556" spans="1:21" ht="14.25" hidden="1" customHeight="1" x14ac:dyDescent="0.25">
      <c r="A556" s="41" t="s">
        <v>570</v>
      </c>
      <c r="B556" s="41">
        <v>780</v>
      </c>
      <c r="C556" s="52">
        <v>5500</v>
      </c>
      <c r="D556" s="52" t="str">
        <f>LEFT(Table1[[#This Row],[Eelarvekonto]],2)</f>
        <v>55</v>
      </c>
      <c r="E556" s="41" t="str">
        <f>VLOOKUP(Table1[[#This Row],[Eelarvekonto]],Table5[[Konto]:[Konto nimetus]],2,FALSE)</f>
        <v>Administreerimiskulud</v>
      </c>
      <c r="F556" s="41" t="s">
        <v>139</v>
      </c>
      <c r="G556" s="41" t="s">
        <v>24</v>
      </c>
      <c r="J556" s="41" t="s">
        <v>235</v>
      </c>
      <c r="K556" s="41" t="s">
        <v>234</v>
      </c>
      <c r="L556" s="58" t="s">
        <v>233</v>
      </c>
      <c r="M556" s="58" t="str">
        <f>LEFT(Table1[[#This Row],[Tegevusala kood]],2)</f>
        <v>08</v>
      </c>
      <c r="N556" s="41" t="str">
        <f>VLOOKUP(Table1[[#This Row],[Tegevusala kood]],Table4[[Tegevusala kood]:[Tegevusala alanimetus]],2,FALSE)</f>
        <v>Vinni-Pajusti Raamatukogu</v>
      </c>
      <c r="O556" s="41" t="s">
        <v>1</v>
      </c>
      <c r="P556" s="41" t="s">
        <v>1</v>
      </c>
      <c r="Q556" s="41" t="str">
        <f>VLOOKUP(Table1[[#This Row],[Eelarvekonto]],Table5[[Konto]:[Kontode alanimetus]],5,FALSE)</f>
        <v>Majandamiskulud</v>
      </c>
      <c r="R556" s="42" t="str">
        <f>VLOOKUP(Table1[[#This Row],[Tegevusala kood]],Table4[[Tegevusala kood]:[Tegevusala alanimetus]],4,FALSE)</f>
        <v>Raamatukogud</v>
      </c>
      <c r="S556" s="53"/>
      <c r="T556" s="53"/>
      <c r="U556" s="53">
        <f>Table1[[#This Row],[Summa]]+Table1[[#This Row],[I Muudatus]]+Table1[[#This Row],[II Muudatus]]</f>
        <v>780</v>
      </c>
    </row>
    <row r="557" spans="1:21" ht="14.25" hidden="1" customHeight="1" x14ac:dyDescent="0.25">
      <c r="A557" s="41" t="s">
        <v>197</v>
      </c>
      <c r="B557" s="41">
        <v>384</v>
      </c>
      <c r="C557" s="52">
        <v>5513081</v>
      </c>
      <c r="D557" s="52" t="str">
        <f>LEFT(Table1[[#This Row],[Eelarvekonto]],2)</f>
        <v>55</v>
      </c>
      <c r="E557" s="41" t="str">
        <f>VLOOKUP(Table1[[#This Row],[Eelarvekonto]],Table5[[Konto]:[Konto nimetus]],2,FALSE)</f>
        <v>Isikliku sõiduauto kompensatsioon</v>
      </c>
      <c r="F557" s="41" t="s">
        <v>139</v>
      </c>
      <c r="G557" s="41" t="s">
        <v>24</v>
      </c>
      <c r="J557" s="41" t="s">
        <v>235</v>
      </c>
      <c r="K557" s="41" t="s">
        <v>234</v>
      </c>
      <c r="L557" s="58" t="s">
        <v>233</v>
      </c>
      <c r="M557" s="58" t="str">
        <f>LEFT(Table1[[#This Row],[Tegevusala kood]],2)</f>
        <v>08</v>
      </c>
      <c r="N557" s="41" t="str">
        <f>VLOOKUP(Table1[[#This Row],[Tegevusala kood]],Table4[[Tegevusala kood]:[Tegevusala alanimetus]],2,FALSE)</f>
        <v>Vinni-Pajusti Raamatukogu</v>
      </c>
      <c r="O557" s="41" t="s">
        <v>1</v>
      </c>
      <c r="P557" s="41" t="s">
        <v>1</v>
      </c>
      <c r="Q557" s="41" t="str">
        <f>VLOOKUP(Table1[[#This Row],[Eelarvekonto]],Table5[[Konto]:[Kontode alanimetus]],5,FALSE)</f>
        <v>Majandamiskulud</v>
      </c>
      <c r="R557" s="42" t="str">
        <f>VLOOKUP(Table1[[#This Row],[Tegevusala kood]],Table4[[Tegevusala kood]:[Tegevusala alanimetus]],4,FALSE)</f>
        <v>Raamatukogud</v>
      </c>
      <c r="S557" s="53"/>
      <c r="T557" s="53"/>
      <c r="U557" s="53">
        <f>Table1[[#This Row],[Summa]]+Table1[[#This Row],[I Muudatus]]+Table1[[#This Row],[II Muudatus]]</f>
        <v>384</v>
      </c>
    </row>
    <row r="558" spans="1:21" ht="14.25" hidden="1" customHeight="1" x14ac:dyDescent="0.25">
      <c r="A558" s="41" t="s">
        <v>158</v>
      </c>
      <c r="B558" s="41">
        <v>9677.6200000000008</v>
      </c>
      <c r="C558" s="52">
        <v>506</v>
      </c>
      <c r="D558" s="52" t="str">
        <f>LEFT(Table1[[#This Row],[Eelarvekonto]],2)</f>
        <v>50</v>
      </c>
      <c r="E558" s="41" t="str">
        <f>VLOOKUP(Table1[[#This Row],[Eelarvekonto]],Table5[[Konto]:[Konto nimetus]],2,FALSE)</f>
        <v>Tööjõukuludega kaasnevad maksud ja sotsiaalkindlustusmaksed</v>
      </c>
      <c r="F558" s="41" t="s">
        <v>139</v>
      </c>
      <c r="G558" s="41" t="s">
        <v>24</v>
      </c>
      <c r="J558" s="41" t="s">
        <v>235</v>
      </c>
      <c r="K558" s="41" t="s">
        <v>234</v>
      </c>
      <c r="L558" s="58" t="s">
        <v>233</v>
      </c>
      <c r="M558" s="58" t="str">
        <f>LEFT(Table1[[#This Row],[Tegevusala kood]],2)</f>
        <v>08</v>
      </c>
      <c r="N558" s="41" t="str">
        <f>VLOOKUP(Table1[[#This Row],[Tegevusala kood]],Table4[[Tegevusala kood]:[Tegevusala alanimetus]],2,FALSE)</f>
        <v>Vinni-Pajusti Raamatukogu</v>
      </c>
      <c r="O558" s="41" t="s">
        <v>1</v>
      </c>
      <c r="P558" s="41" t="s">
        <v>1</v>
      </c>
      <c r="Q558" s="41" t="str">
        <f>VLOOKUP(Table1[[#This Row],[Eelarvekonto]],Table5[[Konto]:[Kontode alanimetus]],5,FALSE)</f>
        <v>Tööjõukulud</v>
      </c>
      <c r="R558" s="42" t="str">
        <f>VLOOKUP(Table1[[#This Row],[Tegevusala kood]],Table4[[Tegevusala kood]:[Tegevusala alanimetus]],4,FALSE)</f>
        <v>Raamatukogud</v>
      </c>
      <c r="S558" s="53"/>
      <c r="T558" s="53"/>
      <c r="U558" s="53">
        <f>Table1[[#This Row],[Summa]]+Table1[[#This Row],[I Muudatus]]+Table1[[#This Row],[II Muudatus]]</f>
        <v>9677.6200000000008</v>
      </c>
    </row>
    <row r="559" spans="1:21" ht="14.25" hidden="1" customHeight="1" x14ac:dyDescent="0.25">
      <c r="A559" s="41" t="s">
        <v>493</v>
      </c>
      <c r="B559" s="41">
        <v>9480</v>
      </c>
      <c r="C559" s="52">
        <v>5002</v>
      </c>
      <c r="D559" s="52" t="str">
        <f>LEFT(Table1[[#This Row],[Eelarvekonto]],2)</f>
        <v>50</v>
      </c>
      <c r="E559" s="41" t="str">
        <f>VLOOKUP(Table1[[#This Row],[Eelarvekonto]],Table5[[Konto]:[Konto nimetus]],2,FALSE)</f>
        <v>Töötajate töötasud</v>
      </c>
      <c r="F559" s="41" t="s">
        <v>139</v>
      </c>
      <c r="G559" s="41" t="s">
        <v>24</v>
      </c>
      <c r="J559" s="41" t="s">
        <v>235</v>
      </c>
      <c r="K559" s="41" t="s">
        <v>234</v>
      </c>
      <c r="L559" s="58" t="s">
        <v>233</v>
      </c>
      <c r="M559" s="58" t="str">
        <f>LEFT(Table1[[#This Row],[Tegevusala kood]],2)</f>
        <v>08</v>
      </c>
      <c r="N559" s="41" t="str">
        <f>VLOOKUP(Table1[[#This Row],[Tegevusala kood]],Table4[[Tegevusala kood]:[Tegevusala alanimetus]],2,FALSE)</f>
        <v>Vinni-Pajusti Raamatukogu</v>
      </c>
      <c r="O559" s="41" t="s">
        <v>1</v>
      </c>
      <c r="P559" s="41" t="s">
        <v>1</v>
      </c>
      <c r="Q559" s="41" t="str">
        <f>VLOOKUP(Table1[[#This Row],[Eelarvekonto]],Table5[[Konto]:[Kontode alanimetus]],5,FALSE)</f>
        <v>Tööjõukulud</v>
      </c>
      <c r="R559" s="42" t="str">
        <f>VLOOKUP(Table1[[#This Row],[Tegevusala kood]],Table4[[Tegevusala kood]:[Tegevusala alanimetus]],4,FALSE)</f>
        <v>Raamatukogud</v>
      </c>
      <c r="S559" s="53"/>
      <c r="T559" s="53"/>
      <c r="U559" s="53">
        <f>Table1[[#This Row],[Summa]]+Table1[[#This Row],[I Muudatus]]+Table1[[#This Row],[II Muudatus]]</f>
        <v>9480</v>
      </c>
    </row>
    <row r="560" spans="1:21" ht="14.25" hidden="1" customHeight="1" x14ac:dyDescent="0.25">
      <c r="A560" s="41" t="s">
        <v>469</v>
      </c>
      <c r="B560" s="41">
        <v>5256</v>
      </c>
      <c r="C560" s="52">
        <v>5002</v>
      </c>
      <c r="D560" s="52" t="str">
        <f>LEFT(Table1[[#This Row],[Eelarvekonto]],2)</f>
        <v>50</v>
      </c>
      <c r="E560" s="41" t="str">
        <f>VLOOKUP(Table1[[#This Row],[Eelarvekonto]],Table5[[Konto]:[Konto nimetus]],2,FALSE)</f>
        <v>Töötajate töötasud</v>
      </c>
      <c r="F560" s="41" t="s">
        <v>139</v>
      </c>
      <c r="G560" s="41" t="s">
        <v>24</v>
      </c>
      <c r="J560" s="41" t="s">
        <v>235</v>
      </c>
      <c r="K560" s="41" t="s">
        <v>234</v>
      </c>
      <c r="L560" s="58" t="s">
        <v>233</v>
      </c>
      <c r="M560" s="58" t="str">
        <f>LEFT(Table1[[#This Row],[Tegevusala kood]],2)</f>
        <v>08</v>
      </c>
      <c r="N560" s="41" t="str">
        <f>VLOOKUP(Table1[[#This Row],[Tegevusala kood]],Table4[[Tegevusala kood]:[Tegevusala alanimetus]],2,FALSE)</f>
        <v>Vinni-Pajusti Raamatukogu</v>
      </c>
      <c r="O560" s="41" t="s">
        <v>1</v>
      </c>
      <c r="P560" s="41" t="s">
        <v>1</v>
      </c>
      <c r="Q560" s="41" t="str">
        <f>VLOOKUP(Table1[[#This Row],[Eelarvekonto]],Table5[[Konto]:[Kontode alanimetus]],5,FALSE)</f>
        <v>Tööjõukulud</v>
      </c>
      <c r="R560" s="42" t="str">
        <f>VLOOKUP(Table1[[#This Row],[Tegevusala kood]],Table4[[Tegevusala kood]:[Tegevusala alanimetus]],4,FALSE)</f>
        <v>Raamatukogud</v>
      </c>
      <c r="S560" s="53"/>
      <c r="T560" s="53"/>
      <c r="U560" s="53">
        <f>Table1[[#This Row],[Summa]]+Table1[[#This Row],[I Muudatus]]+Table1[[#This Row],[II Muudatus]]</f>
        <v>5256</v>
      </c>
    </row>
    <row r="561" spans="1:21" ht="14.25" hidden="1" customHeight="1" x14ac:dyDescent="0.25">
      <c r="A561" s="41" t="s">
        <v>462</v>
      </c>
      <c r="B561" s="41">
        <v>13896</v>
      </c>
      <c r="C561" s="52">
        <v>5002</v>
      </c>
      <c r="D561" s="52" t="str">
        <f>LEFT(Table1[[#This Row],[Eelarvekonto]],2)</f>
        <v>50</v>
      </c>
      <c r="E561" s="41" t="str">
        <f>VLOOKUP(Table1[[#This Row],[Eelarvekonto]],Table5[[Konto]:[Konto nimetus]],2,FALSE)</f>
        <v>Töötajate töötasud</v>
      </c>
      <c r="F561" s="41" t="s">
        <v>139</v>
      </c>
      <c r="G561" s="41" t="s">
        <v>24</v>
      </c>
      <c r="J561" s="41" t="s">
        <v>235</v>
      </c>
      <c r="K561" s="41" t="s">
        <v>234</v>
      </c>
      <c r="L561" s="58" t="s">
        <v>233</v>
      </c>
      <c r="M561" s="58" t="str">
        <f>LEFT(Table1[[#This Row],[Tegevusala kood]],2)</f>
        <v>08</v>
      </c>
      <c r="N561" s="41" t="str">
        <f>VLOOKUP(Table1[[#This Row],[Tegevusala kood]],Table4[[Tegevusala kood]:[Tegevusala alanimetus]],2,FALSE)</f>
        <v>Vinni-Pajusti Raamatukogu</v>
      </c>
      <c r="O561" s="41" t="s">
        <v>1</v>
      </c>
      <c r="P561" s="41" t="s">
        <v>1</v>
      </c>
      <c r="Q561" s="41" t="str">
        <f>VLOOKUP(Table1[[#This Row],[Eelarvekonto]],Table5[[Konto]:[Kontode alanimetus]],5,FALSE)</f>
        <v>Tööjõukulud</v>
      </c>
      <c r="R561" s="42" t="str">
        <f>VLOOKUP(Table1[[#This Row],[Tegevusala kood]],Table4[[Tegevusala kood]:[Tegevusala alanimetus]],4,FALSE)</f>
        <v>Raamatukogud</v>
      </c>
      <c r="S561" s="53"/>
      <c r="T561" s="53"/>
      <c r="U561" s="53">
        <f>Table1[[#This Row],[Summa]]+Table1[[#This Row],[I Muudatus]]+Table1[[#This Row],[II Muudatus]]</f>
        <v>13896</v>
      </c>
    </row>
    <row r="562" spans="1:21" ht="14.25" hidden="1" customHeight="1" x14ac:dyDescent="0.25">
      <c r="A562" s="41" t="s">
        <v>148</v>
      </c>
      <c r="B562" s="41">
        <v>10320</v>
      </c>
      <c r="C562" s="52">
        <v>551100</v>
      </c>
      <c r="D562" s="52" t="str">
        <f>LEFT(Table1[[#This Row],[Eelarvekonto]],2)</f>
        <v>55</v>
      </c>
      <c r="E562" s="41" t="str">
        <f>VLOOKUP(Table1[[#This Row],[Eelarvekonto]],Table5[[Konto]:[Konto nimetus]],2,FALSE)</f>
        <v>Küte ja soojusenergia</v>
      </c>
      <c r="F562" s="41" t="s">
        <v>139</v>
      </c>
      <c r="G562" s="41" t="s">
        <v>24</v>
      </c>
      <c r="J562" s="41" t="s">
        <v>235</v>
      </c>
      <c r="K562" s="41" t="s">
        <v>234</v>
      </c>
      <c r="L562" s="58" t="s">
        <v>233</v>
      </c>
      <c r="M562" s="58" t="str">
        <f>LEFT(Table1[[#This Row],[Tegevusala kood]],2)</f>
        <v>08</v>
      </c>
      <c r="N562" s="41" t="str">
        <f>VLOOKUP(Table1[[#This Row],[Tegevusala kood]],Table4[[Tegevusala kood]:[Tegevusala alanimetus]],2,FALSE)</f>
        <v>Vinni-Pajusti Raamatukogu</v>
      </c>
      <c r="O562" s="41" t="s">
        <v>1</v>
      </c>
      <c r="P562" s="41" t="s">
        <v>1</v>
      </c>
      <c r="Q562" s="41" t="str">
        <f>VLOOKUP(Table1[[#This Row],[Eelarvekonto]],Table5[[Konto]:[Kontode alanimetus]],5,FALSE)</f>
        <v>Majandamiskulud</v>
      </c>
      <c r="R562" s="42" t="str">
        <f>VLOOKUP(Table1[[#This Row],[Tegevusala kood]],Table4[[Tegevusala kood]:[Tegevusala alanimetus]],4,FALSE)</f>
        <v>Raamatukogud</v>
      </c>
      <c r="S562" s="53"/>
      <c r="T562" s="53"/>
      <c r="U562" s="53">
        <f>Table1[[#This Row],[Summa]]+Table1[[#This Row],[I Muudatus]]+Table1[[#This Row],[II Muudatus]]</f>
        <v>10320</v>
      </c>
    </row>
    <row r="563" spans="1:21" ht="14.25" hidden="1" customHeight="1" x14ac:dyDescent="0.25">
      <c r="A563" s="41" t="s">
        <v>150</v>
      </c>
      <c r="B563" s="41">
        <v>174</v>
      </c>
      <c r="C563" s="52">
        <v>551102</v>
      </c>
      <c r="D563" s="52" t="str">
        <f>LEFT(Table1[[#This Row],[Eelarvekonto]],2)</f>
        <v>55</v>
      </c>
      <c r="E563" s="41" t="str">
        <f>VLOOKUP(Table1[[#This Row],[Eelarvekonto]],Table5[[Konto]:[Konto nimetus]],2,FALSE)</f>
        <v>Vesi ja kanalisatsioon</v>
      </c>
      <c r="F563" s="41" t="s">
        <v>139</v>
      </c>
      <c r="G563" s="41" t="s">
        <v>24</v>
      </c>
      <c r="J563" s="41" t="s">
        <v>235</v>
      </c>
      <c r="K563" s="41" t="s">
        <v>234</v>
      </c>
      <c r="L563" s="58" t="s">
        <v>233</v>
      </c>
      <c r="M563" s="58" t="str">
        <f>LEFT(Table1[[#This Row],[Tegevusala kood]],2)</f>
        <v>08</v>
      </c>
      <c r="N563" s="41" t="str">
        <f>VLOOKUP(Table1[[#This Row],[Tegevusala kood]],Table4[[Tegevusala kood]:[Tegevusala alanimetus]],2,FALSE)</f>
        <v>Vinni-Pajusti Raamatukogu</v>
      </c>
      <c r="O563" s="41" t="s">
        <v>1</v>
      </c>
      <c r="P563" s="41" t="s">
        <v>1</v>
      </c>
      <c r="Q563" s="41" t="str">
        <f>VLOOKUP(Table1[[#This Row],[Eelarvekonto]],Table5[[Konto]:[Kontode alanimetus]],5,FALSE)</f>
        <v>Majandamiskulud</v>
      </c>
      <c r="R563" s="42" t="str">
        <f>VLOOKUP(Table1[[#This Row],[Tegevusala kood]],Table4[[Tegevusala kood]:[Tegevusala alanimetus]],4,FALSE)</f>
        <v>Raamatukogud</v>
      </c>
      <c r="S563" s="53"/>
      <c r="T563" s="53"/>
      <c r="U563" s="53">
        <f>Table1[[#This Row],[Summa]]+Table1[[#This Row],[I Muudatus]]+Table1[[#This Row],[II Muudatus]]</f>
        <v>174</v>
      </c>
    </row>
    <row r="564" spans="1:21" ht="14.25" hidden="1" customHeight="1" x14ac:dyDescent="0.25">
      <c r="A564" s="41" t="s">
        <v>1096</v>
      </c>
      <c r="B564" s="41">
        <v>221.64</v>
      </c>
      <c r="C564" s="52">
        <v>5511</v>
      </c>
      <c r="D564" s="52" t="str">
        <f>LEFT(Table1[[#This Row],[Eelarvekonto]],2)</f>
        <v>55</v>
      </c>
      <c r="E564" s="41" t="str">
        <f>VLOOKUP(Table1[[#This Row],[Eelarvekonto]],Table5[[Konto]:[Konto nimetus]],2,FALSE)</f>
        <v>Kinnistute, hoonete ja ruumide majandamiskulud</v>
      </c>
      <c r="F564" s="41" t="s">
        <v>139</v>
      </c>
      <c r="G564" s="41" t="s">
        <v>24</v>
      </c>
      <c r="J564" s="41" t="s">
        <v>235</v>
      </c>
      <c r="K564" s="41" t="s">
        <v>234</v>
      </c>
      <c r="L564" s="58" t="s">
        <v>233</v>
      </c>
      <c r="M564" s="58" t="str">
        <f>LEFT(Table1[[#This Row],[Tegevusala kood]],2)</f>
        <v>08</v>
      </c>
      <c r="N564" s="41" t="str">
        <f>VLOOKUP(Table1[[#This Row],[Tegevusala kood]],Table4[[Tegevusala kood]:[Tegevusala alanimetus]],2,FALSE)</f>
        <v>Vinni-Pajusti Raamatukogu</v>
      </c>
      <c r="O564" s="41" t="s">
        <v>1</v>
      </c>
      <c r="P564" s="41" t="s">
        <v>1</v>
      </c>
      <c r="Q564" s="41" t="str">
        <f>VLOOKUP(Table1[[#This Row],[Eelarvekonto]],Table5[[Konto]:[Kontode alanimetus]],5,FALSE)</f>
        <v>Majandamiskulud</v>
      </c>
      <c r="R564" s="42" t="str">
        <f>VLOOKUP(Table1[[#This Row],[Tegevusala kood]],Table4[[Tegevusala kood]:[Tegevusala alanimetus]],4,FALSE)</f>
        <v>Raamatukogud</v>
      </c>
      <c r="S564" s="53"/>
      <c r="T564" s="53"/>
      <c r="U564" s="53">
        <f>Table1[[#This Row],[Summa]]+Table1[[#This Row],[I Muudatus]]+Table1[[#This Row],[II Muudatus]]</f>
        <v>221.64</v>
      </c>
    </row>
    <row r="565" spans="1:21" ht="14.25" hidden="1" customHeight="1" x14ac:dyDescent="0.25">
      <c r="A565" s="41" t="s">
        <v>490</v>
      </c>
      <c r="B565" s="41">
        <v>480.12</v>
      </c>
      <c r="C565" s="52">
        <v>5514</v>
      </c>
      <c r="D565" s="52" t="str">
        <f>LEFT(Table1[[#This Row],[Eelarvekonto]],2)</f>
        <v>55</v>
      </c>
      <c r="E565" s="41" t="str">
        <f>VLOOKUP(Table1[[#This Row],[Eelarvekonto]],Table5[[Konto]:[Konto nimetus]],2,FALSE)</f>
        <v>Info- ja kommunikatsioonitehnoloogia kulud</v>
      </c>
      <c r="F565" s="41" t="s">
        <v>139</v>
      </c>
      <c r="G565" s="41" t="s">
        <v>24</v>
      </c>
      <c r="J565" s="41" t="s">
        <v>235</v>
      </c>
      <c r="K565" s="41" t="s">
        <v>234</v>
      </c>
      <c r="L565" s="58" t="s">
        <v>233</v>
      </c>
      <c r="M565" s="58" t="str">
        <f>LEFT(Table1[[#This Row],[Tegevusala kood]],2)</f>
        <v>08</v>
      </c>
      <c r="N565" s="41" t="str">
        <f>VLOOKUP(Table1[[#This Row],[Tegevusala kood]],Table4[[Tegevusala kood]:[Tegevusala alanimetus]],2,FALSE)</f>
        <v>Vinni-Pajusti Raamatukogu</v>
      </c>
      <c r="O565" s="41" t="s">
        <v>1</v>
      </c>
      <c r="P565" s="41" t="s">
        <v>1</v>
      </c>
      <c r="Q565" s="41" t="str">
        <f>VLOOKUP(Table1[[#This Row],[Eelarvekonto]],Table5[[Konto]:[Kontode alanimetus]],5,FALSE)</f>
        <v>Majandamiskulud</v>
      </c>
      <c r="R565" s="42" t="str">
        <f>VLOOKUP(Table1[[#This Row],[Tegevusala kood]],Table4[[Tegevusala kood]:[Tegevusala alanimetus]],4,FALSE)</f>
        <v>Raamatukogud</v>
      </c>
      <c r="S565" s="53"/>
      <c r="T565" s="53"/>
      <c r="U565" s="53">
        <f>Table1[[#This Row],[Summa]]+Table1[[#This Row],[I Muudatus]]+Table1[[#This Row],[II Muudatus]]</f>
        <v>480.12</v>
      </c>
    </row>
    <row r="566" spans="1:21" ht="14.25" hidden="1" customHeight="1" x14ac:dyDescent="0.25">
      <c r="A566" s="41" t="s">
        <v>484</v>
      </c>
      <c r="B566" s="41">
        <v>66</v>
      </c>
      <c r="C566" s="52">
        <v>5511</v>
      </c>
      <c r="D566" s="52" t="str">
        <f>LEFT(Table1[[#This Row],[Eelarvekonto]],2)</f>
        <v>55</v>
      </c>
      <c r="E566" s="41" t="str">
        <f>VLOOKUP(Table1[[#This Row],[Eelarvekonto]],Table5[[Konto]:[Konto nimetus]],2,FALSE)</f>
        <v>Kinnistute, hoonete ja ruumide majandamiskulud</v>
      </c>
      <c r="F566" s="41" t="s">
        <v>139</v>
      </c>
      <c r="G566" s="41" t="s">
        <v>24</v>
      </c>
      <c r="J566" s="41" t="s">
        <v>235</v>
      </c>
      <c r="K566" s="41" t="s">
        <v>234</v>
      </c>
      <c r="L566" s="58" t="s">
        <v>233</v>
      </c>
      <c r="M566" s="58" t="str">
        <f>LEFT(Table1[[#This Row],[Tegevusala kood]],2)</f>
        <v>08</v>
      </c>
      <c r="N566" s="41" t="str">
        <f>VLOOKUP(Table1[[#This Row],[Tegevusala kood]],Table4[[Tegevusala kood]:[Tegevusala alanimetus]],2,FALSE)</f>
        <v>Vinni-Pajusti Raamatukogu</v>
      </c>
      <c r="O566" s="41" t="s">
        <v>1</v>
      </c>
      <c r="P566" s="41" t="s">
        <v>1</v>
      </c>
      <c r="Q566" s="41" t="str">
        <f>VLOOKUP(Table1[[#This Row],[Eelarvekonto]],Table5[[Konto]:[Kontode alanimetus]],5,FALSE)</f>
        <v>Majandamiskulud</v>
      </c>
      <c r="R566" s="42" t="str">
        <f>VLOOKUP(Table1[[#This Row],[Tegevusala kood]],Table4[[Tegevusala kood]:[Tegevusala alanimetus]],4,FALSE)</f>
        <v>Raamatukogud</v>
      </c>
      <c r="S566" s="53"/>
      <c r="T566" s="53"/>
      <c r="U566" s="53">
        <f>Table1[[#This Row],[Summa]]+Table1[[#This Row],[I Muudatus]]+Table1[[#This Row],[II Muudatus]]</f>
        <v>66</v>
      </c>
    </row>
    <row r="567" spans="1:21" ht="14.25" hidden="1" customHeight="1" x14ac:dyDescent="0.25">
      <c r="A567" s="41" t="s">
        <v>171</v>
      </c>
      <c r="B567" s="41">
        <v>92.4</v>
      </c>
      <c r="C567" s="52">
        <v>5511</v>
      </c>
      <c r="D567" s="52" t="str">
        <f>LEFT(Table1[[#This Row],[Eelarvekonto]],2)</f>
        <v>55</v>
      </c>
      <c r="E567" s="41" t="str">
        <f>VLOOKUP(Table1[[#This Row],[Eelarvekonto]],Table5[[Konto]:[Konto nimetus]],2,FALSE)</f>
        <v>Kinnistute, hoonete ja ruumide majandamiskulud</v>
      </c>
      <c r="F567" s="41" t="s">
        <v>139</v>
      </c>
      <c r="G567" s="41" t="s">
        <v>24</v>
      </c>
      <c r="J567" s="41" t="s">
        <v>235</v>
      </c>
      <c r="K567" s="41" t="s">
        <v>234</v>
      </c>
      <c r="L567" s="58" t="s">
        <v>233</v>
      </c>
      <c r="M567" s="58" t="str">
        <f>LEFT(Table1[[#This Row],[Tegevusala kood]],2)</f>
        <v>08</v>
      </c>
      <c r="N567" s="41" t="str">
        <f>VLOOKUP(Table1[[#This Row],[Tegevusala kood]],Table4[[Tegevusala kood]:[Tegevusala alanimetus]],2,FALSE)</f>
        <v>Vinni-Pajusti Raamatukogu</v>
      </c>
      <c r="O567" s="41" t="s">
        <v>1</v>
      </c>
      <c r="P567" s="41" t="s">
        <v>1</v>
      </c>
      <c r="Q567" s="41" t="str">
        <f>VLOOKUP(Table1[[#This Row],[Eelarvekonto]],Table5[[Konto]:[Kontode alanimetus]],5,FALSE)</f>
        <v>Majandamiskulud</v>
      </c>
      <c r="R567" s="42" t="str">
        <f>VLOOKUP(Table1[[#This Row],[Tegevusala kood]],Table4[[Tegevusala kood]:[Tegevusala alanimetus]],4,FALSE)</f>
        <v>Raamatukogud</v>
      </c>
      <c r="S567" s="53"/>
      <c r="T567" s="53"/>
      <c r="U567" s="53">
        <f>Table1[[#This Row],[Summa]]+Table1[[#This Row],[I Muudatus]]+Table1[[#This Row],[II Muudatus]]</f>
        <v>92.4</v>
      </c>
    </row>
    <row r="568" spans="1:21" ht="14.25" hidden="1" customHeight="1" x14ac:dyDescent="0.25">
      <c r="A568" s="41" t="s">
        <v>491</v>
      </c>
      <c r="B568" s="41">
        <v>100</v>
      </c>
      <c r="C568" s="52">
        <v>5500</v>
      </c>
      <c r="D568" s="52" t="str">
        <f>LEFT(Table1[[#This Row],[Eelarvekonto]],2)</f>
        <v>55</v>
      </c>
      <c r="E568" s="41" t="str">
        <f>VLOOKUP(Table1[[#This Row],[Eelarvekonto]],Table5[[Konto]:[Konto nimetus]],2,FALSE)</f>
        <v>Administreerimiskulud</v>
      </c>
      <c r="F568" s="41" t="s">
        <v>139</v>
      </c>
      <c r="G568" s="41" t="s">
        <v>24</v>
      </c>
      <c r="J568" s="41" t="s">
        <v>235</v>
      </c>
      <c r="K568" s="41" t="s">
        <v>234</v>
      </c>
      <c r="L568" s="58" t="s">
        <v>233</v>
      </c>
      <c r="M568" s="58" t="str">
        <f>LEFT(Table1[[#This Row],[Tegevusala kood]],2)</f>
        <v>08</v>
      </c>
      <c r="N568" s="41" t="str">
        <f>VLOOKUP(Table1[[#This Row],[Tegevusala kood]],Table4[[Tegevusala kood]:[Tegevusala alanimetus]],2,FALSE)</f>
        <v>Vinni-Pajusti Raamatukogu</v>
      </c>
      <c r="O568" s="41" t="s">
        <v>1</v>
      </c>
      <c r="P568" s="41" t="s">
        <v>1</v>
      </c>
      <c r="Q568" s="41" t="str">
        <f>VLOOKUP(Table1[[#This Row],[Eelarvekonto]],Table5[[Konto]:[Kontode alanimetus]],5,FALSE)</f>
        <v>Majandamiskulud</v>
      </c>
      <c r="R568" s="42" t="str">
        <f>VLOOKUP(Table1[[#This Row],[Tegevusala kood]],Table4[[Tegevusala kood]:[Tegevusala alanimetus]],4,FALSE)</f>
        <v>Raamatukogud</v>
      </c>
      <c r="S568" s="53"/>
      <c r="T568" s="53"/>
      <c r="U568" s="53">
        <f>Table1[[#This Row],[Summa]]+Table1[[#This Row],[I Muudatus]]+Table1[[#This Row],[II Muudatus]]</f>
        <v>100</v>
      </c>
    </row>
    <row r="569" spans="1:21" ht="14.25" hidden="1" customHeight="1" x14ac:dyDescent="0.25">
      <c r="A569" s="41" t="s">
        <v>149</v>
      </c>
      <c r="B569" s="41">
        <v>2400</v>
      </c>
      <c r="C569" s="52">
        <v>551101</v>
      </c>
      <c r="D569" s="52" t="str">
        <f>LEFT(Table1[[#This Row],[Eelarvekonto]],2)</f>
        <v>55</v>
      </c>
      <c r="E569" s="41" t="str">
        <f>VLOOKUP(Table1[[#This Row],[Eelarvekonto]],Table5[[Konto]:[Konto nimetus]],2,FALSE)</f>
        <v>Elekter</v>
      </c>
      <c r="F569" s="41" t="s">
        <v>139</v>
      </c>
      <c r="G569" s="41" t="s">
        <v>24</v>
      </c>
      <c r="J569" s="41" t="s">
        <v>235</v>
      </c>
      <c r="K569" s="41" t="s">
        <v>234</v>
      </c>
      <c r="L569" s="58" t="s">
        <v>233</v>
      </c>
      <c r="M569" s="58" t="str">
        <f>LEFT(Table1[[#This Row],[Tegevusala kood]],2)</f>
        <v>08</v>
      </c>
      <c r="N569" s="41" t="str">
        <f>VLOOKUP(Table1[[#This Row],[Tegevusala kood]],Table4[[Tegevusala kood]:[Tegevusala alanimetus]],2,FALSE)</f>
        <v>Vinni-Pajusti Raamatukogu</v>
      </c>
      <c r="O569" s="41" t="s">
        <v>1</v>
      </c>
      <c r="P569" s="41" t="s">
        <v>1</v>
      </c>
      <c r="Q569" s="41" t="str">
        <f>VLOOKUP(Table1[[#This Row],[Eelarvekonto]],Table5[[Konto]:[Kontode alanimetus]],5,FALSE)</f>
        <v>Majandamiskulud</v>
      </c>
      <c r="R569" s="42" t="str">
        <f>VLOOKUP(Table1[[#This Row],[Tegevusala kood]],Table4[[Tegevusala kood]:[Tegevusala alanimetus]],4,FALSE)</f>
        <v>Raamatukogud</v>
      </c>
      <c r="S569" s="53"/>
      <c r="T569" s="53"/>
      <c r="U569" s="53">
        <f>Table1[[#This Row],[Summa]]+Table1[[#This Row],[I Muudatus]]+Table1[[#This Row],[II Muudatus]]</f>
        <v>2400</v>
      </c>
    </row>
    <row r="570" spans="1:21" ht="14.25" hidden="1" customHeight="1" x14ac:dyDescent="0.25">
      <c r="A570" s="41" t="s">
        <v>486</v>
      </c>
      <c r="B570" s="41">
        <v>288</v>
      </c>
      <c r="C570" s="52">
        <v>5511</v>
      </c>
      <c r="D570" s="52" t="str">
        <f>LEFT(Table1[[#This Row],[Eelarvekonto]],2)</f>
        <v>55</v>
      </c>
      <c r="E570" s="41" t="str">
        <f>VLOOKUP(Table1[[#This Row],[Eelarvekonto]],Table5[[Konto]:[Konto nimetus]],2,FALSE)</f>
        <v>Kinnistute, hoonete ja ruumide majandamiskulud</v>
      </c>
      <c r="F570" s="41" t="s">
        <v>139</v>
      </c>
      <c r="G570" s="41" t="s">
        <v>24</v>
      </c>
      <c r="J570" s="41" t="s">
        <v>235</v>
      </c>
      <c r="K570" s="41" t="s">
        <v>234</v>
      </c>
      <c r="L570" s="58" t="s">
        <v>233</v>
      </c>
      <c r="M570" s="58" t="str">
        <f>LEFT(Table1[[#This Row],[Tegevusala kood]],2)</f>
        <v>08</v>
      </c>
      <c r="N570" s="41" t="str">
        <f>VLOOKUP(Table1[[#This Row],[Tegevusala kood]],Table4[[Tegevusala kood]:[Tegevusala alanimetus]],2,FALSE)</f>
        <v>Vinni-Pajusti Raamatukogu</v>
      </c>
      <c r="O570" s="41" t="s">
        <v>1</v>
      </c>
      <c r="P570" s="41" t="s">
        <v>1</v>
      </c>
      <c r="Q570" s="41" t="str">
        <f>VLOOKUP(Table1[[#This Row],[Eelarvekonto]],Table5[[Konto]:[Kontode alanimetus]],5,FALSE)</f>
        <v>Majandamiskulud</v>
      </c>
      <c r="R570" s="42" t="str">
        <f>VLOOKUP(Table1[[#This Row],[Tegevusala kood]],Table4[[Tegevusala kood]:[Tegevusala alanimetus]],4,FALSE)</f>
        <v>Raamatukogud</v>
      </c>
      <c r="S570" s="53"/>
      <c r="T570" s="53"/>
      <c r="U570" s="53">
        <f>Table1[[#This Row],[Summa]]+Table1[[#This Row],[I Muudatus]]+Table1[[#This Row],[II Muudatus]]</f>
        <v>288</v>
      </c>
    </row>
    <row r="571" spans="1:21" ht="14.25" hidden="1" customHeight="1" x14ac:dyDescent="0.25">
      <c r="A571" s="41" t="s">
        <v>492</v>
      </c>
      <c r="B571" s="41">
        <v>170.52</v>
      </c>
      <c r="C571" s="52">
        <v>5511</v>
      </c>
      <c r="D571" s="52" t="str">
        <f>LEFT(Table1[[#This Row],[Eelarvekonto]],2)</f>
        <v>55</v>
      </c>
      <c r="E571" s="41" t="str">
        <f>VLOOKUP(Table1[[#This Row],[Eelarvekonto]],Table5[[Konto]:[Konto nimetus]],2,FALSE)</f>
        <v>Kinnistute, hoonete ja ruumide majandamiskulud</v>
      </c>
      <c r="F571" s="41" t="s">
        <v>139</v>
      </c>
      <c r="G571" s="41" t="s">
        <v>24</v>
      </c>
      <c r="J571" s="41" t="s">
        <v>235</v>
      </c>
      <c r="K571" s="41" t="s">
        <v>234</v>
      </c>
      <c r="L571" s="58" t="s">
        <v>233</v>
      </c>
      <c r="M571" s="58" t="str">
        <f>LEFT(Table1[[#This Row],[Tegevusala kood]],2)</f>
        <v>08</v>
      </c>
      <c r="N571" s="41" t="str">
        <f>VLOOKUP(Table1[[#This Row],[Tegevusala kood]],Table4[[Tegevusala kood]:[Tegevusala alanimetus]],2,FALSE)</f>
        <v>Vinni-Pajusti Raamatukogu</v>
      </c>
      <c r="O571" s="41" t="s">
        <v>1</v>
      </c>
      <c r="P571" s="41" t="s">
        <v>1</v>
      </c>
      <c r="Q571" s="41" t="str">
        <f>VLOOKUP(Table1[[#This Row],[Eelarvekonto]],Table5[[Konto]:[Kontode alanimetus]],5,FALSE)</f>
        <v>Majandamiskulud</v>
      </c>
      <c r="R571" s="42" t="str">
        <f>VLOOKUP(Table1[[#This Row],[Tegevusala kood]],Table4[[Tegevusala kood]:[Tegevusala alanimetus]],4,FALSE)</f>
        <v>Raamatukogud</v>
      </c>
      <c r="S571" s="53"/>
      <c r="T571" s="53"/>
      <c r="U571" s="53">
        <f>Table1[[#This Row],[Summa]]+Table1[[#This Row],[I Muudatus]]+Table1[[#This Row],[II Muudatus]]</f>
        <v>170.52</v>
      </c>
    </row>
    <row r="572" spans="1:21" ht="14.25" hidden="1" customHeight="1" x14ac:dyDescent="0.25">
      <c r="A572" s="41" t="s">
        <v>444</v>
      </c>
      <c r="B572" s="41">
        <v>26400</v>
      </c>
      <c r="C572" s="52">
        <v>5001</v>
      </c>
      <c r="D572" s="52" t="str">
        <f>LEFT(Table1[[#This Row],[Eelarvekonto]],2)</f>
        <v>50</v>
      </c>
      <c r="E572" s="41" t="str">
        <f>VLOOKUP(Table1[[#This Row],[Eelarvekonto]],Table5[[Konto]:[Konto nimetus]],2,FALSE)</f>
        <v xml:space="preserve"> Avaliku teenistuse ametnike töötasu</v>
      </c>
      <c r="F572" s="41" t="s">
        <v>139</v>
      </c>
      <c r="G572" s="41" t="s">
        <v>24</v>
      </c>
      <c r="J572" s="41" t="s">
        <v>139</v>
      </c>
      <c r="K572" s="41" t="s">
        <v>54</v>
      </c>
      <c r="L572" s="58" t="s">
        <v>404</v>
      </c>
      <c r="M572" s="58" t="str">
        <f>LEFT(Table1[[#This Row],[Tegevusala kood]],2)</f>
        <v>01</v>
      </c>
      <c r="N572" s="41" t="str">
        <f>VLOOKUP(Table1[[#This Row],[Tegevusala kood]],Table4[[Tegevusala kood]:[Tegevusala alanimetus]],2,FALSE)</f>
        <v>Valla- ja linnavalitsus</v>
      </c>
      <c r="O572" s="41" t="s">
        <v>1</v>
      </c>
      <c r="P572" s="41" t="s">
        <v>1</v>
      </c>
      <c r="Q572" s="41" t="str">
        <f>VLOOKUP(Table1[[#This Row],[Eelarvekonto]],Table5[[Konto]:[Kontode alanimetus]],5,FALSE)</f>
        <v>Tööjõukulud</v>
      </c>
      <c r="R572" s="42" t="str">
        <f>VLOOKUP(Table1[[#This Row],[Tegevusala kood]],Table4[[Tegevusala kood]:[Tegevusala alanimetus]],4,FALSE)</f>
        <v>Valla- ja linnavalitsus</v>
      </c>
      <c r="S572" s="53"/>
      <c r="T572" s="53"/>
      <c r="U572" s="53">
        <f>Table1[[#This Row],[Summa]]+Table1[[#This Row],[I Muudatus]]+Table1[[#This Row],[II Muudatus]]</f>
        <v>26400</v>
      </c>
    </row>
    <row r="573" spans="1:21" ht="14.25" hidden="1" customHeight="1" x14ac:dyDescent="0.25">
      <c r="A573" s="41" t="s">
        <v>760</v>
      </c>
      <c r="B573" s="41">
        <v>28800</v>
      </c>
      <c r="C573" s="52">
        <v>5001</v>
      </c>
      <c r="D573" s="52" t="str">
        <f>LEFT(Table1[[#This Row],[Eelarvekonto]],2)</f>
        <v>50</v>
      </c>
      <c r="E573" s="41" t="str">
        <f>VLOOKUP(Table1[[#This Row],[Eelarvekonto]],Table5[[Konto]:[Konto nimetus]],2,FALSE)</f>
        <v xml:space="preserve"> Avaliku teenistuse ametnike töötasu</v>
      </c>
      <c r="F573" s="41" t="s">
        <v>139</v>
      </c>
      <c r="G573" s="41" t="s">
        <v>24</v>
      </c>
      <c r="J573" s="41" t="s">
        <v>139</v>
      </c>
      <c r="K573" s="41" t="s">
        <v>54</v>
      </c>
      <c r="L573" s="58" t="s">
        <v>404</v>
      </c>
      <c r="M573" s="58" t="str">
        <f>LEFT(Table1[[#This Row],[Tegevusala kood]],2)</f>
        <v>01</v>
      </c>
      <c r="N573" s="41" t="str">
        <f>VLOOKUP(Table1[[#This Row],[Tegevusala kood]],Table4[[Tegevusala kood]:[Tegevusala alanimetus]],2,FALSE)</f>
        <v>Valla- ja linnavalitsus</v>
      </c>
      <c r="O573" s="41" t="s">
        <v>1</v>
      </c>
      <c r="P573" s="41" t="s">
        <v>1</v>
      </c>
      <c r="Q573" s="41" t="str">
        <f>VLOOKUP(Table1[[#This Row],[Eelarvekonto]],Table5[[Konto]:[Kontode alanimetus]],5,FALSE)</f>
        <v>Tööjõukulud</v>
      </c>
      <c r="R573" s="42" t="str">
        <f>VLOOKUP(Table1[[#This Row],[Tegevusala kood]],Table4[[Tegevusala kood]:[Tegevusala alanimetus]],4,FALSE)</f>
        <v>Valla- ja linnavalitsus</v>
      </c>
      <c r="S573" s="53"/>
      <c r="T573" s="53"/>
      <c r="U573" s="53">
        <f>Table1[[#This Row],[Summa]]+Table1[[#This Row],[I Muudatus]]+Table1[[#This Row],[II Muudatus]]</f>
        <v>28800</v>
      </c>
    </row>
    <row r="574" spans="1:21" ht="14.25" hidden="1" customHeight="1" x14ac:dyDescent="0.25">
      <c r="A574" s="41" t="s">
        <v>759</v>
      </c>
      <c r="B574" s="41">
        <v>23400</v>
      </c>
      <c r="C574" s="52">
        <v>5001</v>
      </c>
      <c r="D574" s="52" t="str">
        <f>LEFT(Table1[[#This Row],[Eelarvekonto]],2)</f>
        <v>50</v>
      </c>
      <c r="E574" s="41" t="str">
        <f>VLOOKUP(Table1[[#This Row],[Eelarvekonto]],Table5[[Konto]:[Konto nimetus]],2,FALSE)</f>
        <v xml:space="preserve"> Avaliku teenistuse ametnike töötasu</v>
      </c>
      <c r="F574" s="41" t="s">
        <v>139</v>
      </c>
      <c r="G574" s="41" t="s">
        <v>24</v>
      </c>
      <c r="J574" s="41" t="s">
        <v>139</v>
      </c>
      <c r="K574" s="41" t="s">
        <v>54</v>
      </c>
      <c r="L574" s="58" t="s">
        <v>404</v>
      </c>
      <c r="M574" s="58" t="str">
        <f>LEFT(Table1[[#This Row],[Tegevusala kood]],2)</f>
        <v>01</v>
      </c>
      <c r="N574" s="41" t="str">
        <f>VLOOKUP(Table1[[#This Row],[Tegevusala kood]],Table4[[Tegevusala kood]:[Tegevusala alanimetus]],2,FALSE)</f>
        <v>Valla- ja linnavalitsus</v>
      </c>
      <c r="O574" s="41" t="s">
        <v>1</v>
      </c>
      <c r="P574" s="41" t="s">
        <v>1</v>
      </c>
      <c r="Q574" s="41" t="str">
        <f>VLOOKUP(Table1[[#This Row],[Eelarvekonto]],Table5[[Konto]:[Kontode alanimetus]],5,FALSE)</f>
        <v>Tööjõukulud</v>
      </c>
      <c r="R574" s="42" t="str">
        <f>VLOOKUP(Table1[[#This Row],[Tegevusala kood]],Table4[[Tegevusala kood]:[Tegevusala alanimetus]],4,FALSE)</f>
        <v>Valla- ja linnavalitsus</v>
      </c>
      <c r="S574" s="53"/>
      <c r="T574" s="53"/>
      <c r="U574" s="53">
        <f>Table1[[#This Row],[Summa]]+Table1[[#This Row],[I Muudatus]]+Table1[[#This Row],[II Muudatus]]</f>
        <v>23400</v>
      </c>
    </row>
    <row r="575" spans="1:21" ht="14.25" hidden="1" customHeight="1" x14ac:dyDescent="0.25">
      <c r="A575" s="41" t="s">
        <v>681</v>
      </c>
      <c r="B575" s="41">
        <v>23400</v>
      </c>
      <c r="C575" s="52">
        <v>5002</v>
      </c>
      <c r="D575" s="52" t="str">
        <f>LEFT(Table1[[#This Row],[Eelarvekonto]],2)</f>
        <v>50</v>
      </c>
      <c r="E575" s="41" t="str">
        <f>VLOOKUP(Table1[[#This Row],[Eelarvekonto]],Table5[[Konto]:[Konto nimetus]],2,FALSE)</f>
        <v>Töötajate töötasud</v>
      </c>
      <c r="F575" s="41" t="s">
        <v>139</v>
      </c>
      <c r="G575" s="41" t="s">
        <v>24</v>
      </c>
      <c r="J575" s="41" t="s">
        <v>406</v>
      </c>
      <c r="K575" s="41" t="s">
        <v>405</v>
      </c>
      <c r="L575" s="58" t="s">
        <v>404</v>
      </c>
      <c r="M575" s="58" t="str">
        <f>LEFT(Table1[[#This Row],[Tegevusala kood]],2)</f>
        <v>01</v>
      </c>
      <c r="N575" s="41" t="str">
        <f>VLOOKUP(Table1[[#This Row],[Tegevusala kood]],Table4[[Tegevusala kood]:[Tegevusala alanimetus]],2,FALSE)</f>
        <v>Valla- ja linnavalitsus</v>
      </c>
      <c r="O575" s="41" t="s">
        <v>1</v>
      </c>
      <c r="P575" s="41" t="s">
        <v>1</v>
      </c>
      <c r="Q575" s="41" t="str">
        <f>VLOOKUP(Table1[[#This Row],[Eelarvekonto]],Table5[[Konto]:[Kontode alanimetus]],5,FALSE)</f>
        <v>Tööjõukulud</v>
      </c>
      <c r="R575" s="42" t="str">
        <f>VLOOKUP(Table1[[#This Row],[Tegevusala kood]],Table4[[Tegevusala kood]:[Tegevusala alanimetus]],4,FALSE)</f>
        <v>Valla- ja linnavalitsus</v>
      </c>
      <c r="S575" s="53"/>
      <c r="T575" s="53"/>
      <c r="U575" s="53">
        <f>Table1[[#This Row],[Summa]]+Table1[[#This Row],[I Muudatus]]+Table1[[#This Row],[II Muudatus]]</f>
        <v>23400</v>
      </c>
    </row>
    <row r="576" spans="1:21" ht="14.25" hidden="1" customHeight="1" x14ac:dyDescent="0.25">
      <c r="A576" s="41" t="s">
        <v>680</v>
      </c>
      <c r="B576" s="41">
        <v>37440</v>
      </c>
      <c r="C576" s="52">
        <v>5002</v>
      </c>
      <c r="D576" s="52" t="str">
        <f>LEFT(Table1[[#This Row],[Eelarvekonto]],2)</f>
        <v>50</v>
      </c>
      <c r="E576" s="41" t="str">
        <f>VLOOKUP(Table1[[#This Row],[Eelarvekonto]],Table5[[Konto]:[Konto nimetus]],2,FALSE)</f>
        <v>Töötajate töötasud</v>
      </c>
      <c r="F576" s="41" t="s">
        <v>139</v>
      </c>
      <c r="G576" s="41" t="s">
        <v>24</v>
      </c>
      <c r="J576" s="41" t="s">
        <v>406</v>
      </c>
      <c r="K576" s="41" t="s">
        <v>405</v>
      </c>
      <c r="L576" s="58" t="s">
        <v>404</v>
      </c>
      <c r="M576" s="58" t="str">
        <f>LEFT(Table1[[#This Row],[Tegevusala kood]],2)</f>
        <v>01</v>
      </c>
      <c r="N576" s="41" t="str">
        <f>VLOOKUP(Table1[[#This Row],[Tegevusala kood]],Table4[[Tegevusala kood]:[Tegevusala alanimetus]],2,FALSE)</f>
        <v>Valla- ja linnavalitsus</v>
      </c>
      <c r="O576" s="41" t="s">
        <v>1</v>
      </c>
      <c r="P576" s="41" t="s">
        <v>1</v>
      </c>
      <c r="Q576" s="41" t="str">
        <f>VLOOKUP(Table1[[#This Row],[Eelarvekonto]],Table5[[Konto]:[Kontode alanimetus]],5,FALSE)</f>
        <v>Tööjõukulud</v>
      </c>
      <c r="R576" s="42" t="str">
        <f>VLOOKUP(Table1[[#This Row],[Tegevusala kood]],Table4[[Tegevusala kood]:[Tegevusala alanimetus]],4,FALSE)</f>
        <v>Valla- ja linnavalitsus</v>
      </c>
      <c r="S576" s="53"/>
      <c r="T576" s="53"/>
      <c r="U576" s="53">
        <f>Table1[[#This Row],[Summa]]+Table1[[#This Row],[I Muudatus]]+Table1[[#This Row],[II Muudatus]]</f>
        <v>37440</v>
      </c>
    </row>
    <row r="577" spans="1:21" ht="14.25" hidden="1" customHeight="1" x14ac:dyDescent="0.25">
      <c r="A577" s="41" t="s">
        <v>463</v>
      </c>
      <c r="B577" s="41">
        <v>17400</v>
      </c>
      <c r="C577" s="52">
        <v>5002</v>
      </c>
      <c r="D577" s="52" t="str">
        <f>LEFT(Table1[[#This Row],[Eelarvekonto]],2)</f>
        <v>50</v>
      </c>
      <c r="E577" s="41" t="str">
        <f>VLOOKUP(Table1[[#This Row],[Eelarvekonto]],Table5[[Konto]:[Konto nimetus]],2,FALSE)</f>
        <v>Töötajate töötasud</v>
      </c>
      <c r="F577" s="41" t="s">
        <v>139</v>
      </c>
      <c r="G577" s="41" t="s">
        <v>24</v>
      </c>
      <c r="J577" s="41" t="s">
        <v>139</v>
      </c>
      <c r="K577" s="41" t="s">
        <v>54</v>
      </c>
      <c r="L577" s="58" t="s">
        <v>404</v>
      </c>
      <c r="M577" s="58" t="str">
        <f>LEFT(Table1[[#This Row],[Tegevusala kood]],2)</f>
        <v>01</v>
      </c>
      <c r="N577" s="41" t="str">
        <f>VLOOKUP(Table1[[#This Row],[Tegevusala kood]],Table4[[Tegevusala kood]:[Tegevusala alanimetus]],2,FALSE)</f>
        <v>Valla- ja linnavalitsus</v>
      </c>
      <c r="O577" s="41" t="s">
        <v>1</v>
      </c>
      <c r="P577" s="41" t="s">
        <v>1</v>
      </c>
      <c r="Q577" s="41" t="str">
        <f>VLOOKUP(Table1[[#This Row],[Eelarvekonto]],Table5[[Konto]:[Kontode alanimetus]],5,FALSE)</f>
        <v>Tööjõukulud</v>
      </c>
      <c r="R577" s="42" t="str">
        <f>VLOOKUP(Table1[[#This Row],[Tegevusala kood]],Table4[[Tegevusala kood]:[Tegevusala alanimetus]],4,FALSE)</f>
        <v>Valla- ja linnavalitsus</v>
      </c>
      <c r="S577" s="53"/>
      <c r="T577" s="53"/>
      <c r="U577" s="53">
        <f>Table1[[#This Row],[Summa]]+Table1[[#This Row],[I Muudatus]]+Table1[[#This Row],[II Muudatus]]</f>
        <v>17400</v>
      </c>
    </row>
    <row r="578" spans="1:21" ht="14.25" hidden="1" customHeight="1" x14ac:dyDescent="0.25">
      <c r="A578" s="41" t="s">
        <v>678</v>
      </c>
      <c r="B578" s="41">
        <v>2500</v>
      </c>
      <c r="C578" s="52">
        <v>5500</v>
      </c>
      <c r="D578" s="68" t="str">
        <f>LEFT(Table1[[#This Row],[Eelarvekonto]],2)</f>
        <v>55</v>
      </c>
      <c r="E578" s="41" t="str">
        <f>VLOOKUP(Table1[[#This Row],[Eelarvekonto]],Table5[[Konto]:[Konto nimetus]],2,FALSE)</f>
        <v>Administreerimiskulud</v>
      </c>
      <c r="F578" s="41" t="s">
        <v>139</v>
      </c>
      <c r="G578" s="41" t="s">
        <v>24</v>
      </c>
      <c r="J578" s="41" t="s">
        <v>406</v>
      </c>
      <c r="K578" s="41" t="s">
        <v>405</v>
      </c>
      <c r="L578" s="58" t="s">
        <v>404</v>
      </c>
      <c r="M578" s="58" t="str">
        <f>LEFT(Table1[[#This Row],[Tegevusala kood]],2)</f>
        <v>01</v>
      </c>
      <c r="N578" s="41" t="str">
        <f>VLOOKUP(Table1[[#This Row],[Tegevusala kood]],Table4[[Tegevusala kood]:[Tegevusala alanimetus]],2,FALSE)</f>
        <v>Valla- ja linnavalitsus</v>
      </c>
      <c r="O578" s="41" t="s">
        <v>1</v>
      </c>
      <c r="P578" s="41" t="s">
        <v>1</v>
      </c>
      <c r="Q578" s="41" t="str">
        <f>VLOOKUP(Table1[[#This Row],[Eelarvekonto]],Table5[[Konto]:[Kontode alanimetus]],5,FALSE)</f>
        <v>Majandamiskulud</v>
      </c>
      <c r="R578" s="42" t="str">
        <f>VLOOKUP(Table1[[#This Row],[Tegevusala kood]],Table4[[Tegevusala kood]:[Tegevusala alanimetus]],4,FALSE)</f>
        <v>Valla- ja linnavalitsus</v>
      </c>
      <c r="S578" s="53"/>
      <c r="T578" s="53"/>
      <c r="U578" s="53">
        <f>Table1[[#This Row],[Summa]]+Table1[[#This Row],[I Muudatus]]+Table1[[#This Row],[II Muudatus]]</f>
        <v>2500</v>
      </c>
    </row>
    <row r="579" spans="1:21" ht="14.25" hidden="1" customHeight="1" x14ac:dyDescent="0.25">
      <c r="A579" s="41" t="s">
        <v>1102</v>
      </c>
      <c r="B579" s="41">
        <v>7000</v>
      </c>
      <c r="C579" s="52">
        <v>5500</v>
      </c>
      <c r="D579" s="52" t="str">
        <f>LEFT(Table1[[#This Row],[Eelarvekonto]],2)</f>
        <v>55</v>
      </c>
      <c r="E579" s="41" t="str">
        <f>VLOOKUP(Table1[[#This Row],[Eelarvekonto]],Table5[[Konto]:[Konto nimetus]],2,FALSE)</f>
        <v>Administreerimiskulud</v>
      </c>
      <c r="F579" s="41" t="s">
        <v>139</v>
      </c>
      <c r="G579" s="41" t="s">
        <v>24</v>
      </c>
      <c r="J579" s="41" t="s">
        <v>139</v>
      </c>
      <c r="K579" s="41" t="s">
        <v>54</v>
      </c>
      <c r="L579" s="58" t="s">
        <v>404</v>
      </c>
      <c r="M579" s="58" t="str">
        <f>LEFT(Table1[[#This Row],[Tegevusala kood]],2)</f>
        <v>01</v>
      </c>
      <c r="N579" s="41" t="str">
        <f>VLOOKUP(Table1[[#This Row],[Tegevusala kood]],Table4[[Tegevusala kood]:[Tegevusala alanimetus]],2,FALSE)</f>
        <v>Valla- ja linnavalitsus</v>
      </c>
      <c r="O579" s="41" t="s">
        <v>1</v>
      </c>
      <c r="P579" s="41" t="s">
        <v>1</v>
      </c>
      <c r="Q579" s="41" t="str">
        <f>VLOOKUP(Table1[[#This Row],[Eelarvekonto]],Table5[[Konto]:[Kontode alanimetus]],5,FALSE)</f>
        <v>Majandamiskulud</v>
      </c>
      <c r="R579" s="42" t="str">
        <f>VLOOKUP(Table1[[#This Row],[Tegevusala kood]],Table4[[Tegevusala kood]:[Tegevusala alanimetus]],4,FALSE)</f>
        <v>Valla- ja linnavalitsus</v>
      </c>
      <c r="S579" s="53"/>
      <c r="T579" s="53"/>
      <c r="U579" s="53">
        <f>Table1[[#This Row],[Summa]]+Table1[[#This Row],[I Muudatus]]+Table1[[#This Row],[II Muudatus]]</f>
        <v>7000</v>
      </c>
    </row>
    <row r="580" spans="1:21" ht="14.25" hidden="1" customHeight="1" x14ac:dyDescent="0.25">
      <c r="A580" s="41" t="s">
        <v>1104</v>
      </c>
      <c r="B580" s="41">
        <v>75</v>
      </c>
      <c r="C580" s="52">
        <v>5500</v>
      </c>
      <c r="D580" s="52" t="str">
        <f>LEFT(Table1[[#This Row],[Eelarvekonto]],2)</f>
        <v>55</v>
      </c>
      <c r="E580" s="41" t="str">
        <f>VLOOKUP(Table1[[#This Row],[Eelarvekonto]],Table5[[Konto]:[Konto nimetus]],2,FALSE)</f>
        <v>Administreerimiskulud</v>
      </c>
      <c r="F580" s="41" t="s">
        <v>139</v>
      </c>
      <c r="G580" s="41" t="s">
        <v>24</v>
      </c>
      <c r="J580" s="41" t="s">
        <v>139</v>
      </c>
      <c r="K580" s="41" t="s">
        <v>54</v>
      </c>
      <c r="L580" s="58" t="s">
        <v>404</v>
      </c>
      <c r="M580" s="58" t="str">
        <f>LEFT(Table1[[#This Row],[Tegevusala kood]],2)</f>
        <v>01</v>
      </c>
      <c r="N580" s="41" t="str">
        <f>VLOOKUP(Table1[[#This Row],[Tegevusala kood]],Table4[[Tegevusala kood]:[Tegevusala alanimetus]],2,FALSE)</f>
        <v>Valla- ja linnavalitsus</v>
      </c>
      <c r="O580" s="41" t="s">
        <v>1</v>
      </c>
      <c r="P580" s="41" t="s">
        <v>1</v>
      </c>
      <c r="Q580" s="41" t="str">
        <f>VLOOKUP(Table1[[#This Row],[Eelarvekonto]],Table5[[Konto]:[Kontode alanimetus]],5,FALSE)</f>
        <v>Majandamiskulud</v>
      </c>
      <c r="R580" s="42" t="str">
        <f>VLOOKUP(Table1[[#This Row],[Tegevusala kood]],Table4[[Tegevusala kood]:[Tegevusala alanimetus]],4,FALSE)</f>
        <v>Valla- ja linnavalitsus</v>
      </c>
      <c r="S580" s="53"/>
      <c r="T580" s="53"/>
      <c r="U580" s="53">
        <f>Table1[[#This Row],[Summa]]+Table1[[#This Row],[I Muudatus]]+Table1[[#This Row],[II Muudatus]]</f>
        <v>75</v>
      </c>
    </row>
    <row r="581" spans="1:21" ht="14.25" hidden="1" customHeight="1" x14ac:dyDescent="0.25">
      <c r="A581" s="41" t="s">
        <v>451</v>
      </c>
      <c r="B581" s="41">
        <v>500</v>
      </c>
      <c r="C581" s="52">
        <v>5500</v>
      </c>
      <c r="D581" s="52" t="str">
        <f>LEFT(Table1[[#This Row],[Eelarvekonto]],2)</f>
        <v>55</v>
      </c>
      <c r="E581" s="41" t="str">
        <f>VLOOKUP(Table1[[#This Row],[Eelarvekonto]],Table5[[Konto]:[Konto nimetus]],2,FALSE)</f>
        <v>Administreerimiskulud</v>
      </c>
      <c r="F581" s="41" t="s">
        <v>139</v>
      </c>
      <c r="G581" s="41" t="s">
        <v>24</v>
      </c>
      <c r="J581" s="41" t="s">
        <v>139</v>
      </c>
      <c r="K581" s="41" t="s">
        <v>54</v>
      </c>
      <c r="L581" s="58" t="s">
        <v>404</v>
      </c>
      <c r="M581" s="58" t="str">
        <f>LEFT(Table1[[#This Row],[Tegevusala kood]],2)</f>
        <v>01</v>
      </c>
      <c r="N581" s="41" t="str">
        <f>VLOOKUP(Table1[[#This Row],[Tegevusala kood]],Table4[[Tegevusala kood]:[Tegevusala alanimetus]],2,FALSE)</f>
        <v>Valla- ja linnavalitsus</v>
      </c>
      <c r="O581" s="41" t="s">
        <v>1</v>
      </c>
      <c r="P581" s="41" t="s">
        <v>1</v>
      </c>
      <c r="Q581" s="41" t="str">
        <f>VLOOKUP(Table1[[#This Row],[Eelarvekonto]],Table5[[Konto]:[Kontode alanimetus]],5,FALSE)</f>
        <v>Majandamiskulud</v>
      </c>
      <c r="R581" s="42" t="str">
        <f>VLOOKUP(Table1[[#This Row],[Tegevusala kood]],Table4[[Tegevusala kood]:[Tegevusala alanimetus]],4,FALSE)</f>
        <v>Valla- ja linnavalitsus</v>
      </c>
      <c r="S581" s="53"/>
      <c r="T581" s="53"/>
      <c r="U581" s="53">
        <f>Table1[[#This Row],[Summa]]+Table1[[#This Row],[I Muudatus]]+Table1[[#This Row],[II Muudatus]]</f>
        <v>500</v>
      </c>
    </row>
    <row r="582" spans="1:21" ht="14.25" hidden="1" customHeight="1" x14ac:dyDescent="0.25">
      <c r="A582" s="41" t="s">
        <v>1105</v>
      </c>
      <c r="B582" s="41">
        <v>12000</v>
      </c>
      <c r="C582" s="52">
        <v>5500</v>
      </c>
      <c r="D582" s="52" t="str">
        <f>LEFT(Table1[[#This Row],[Eelarvekonto]],2)</f>
        <v>55</v>
      </c>
      <c r="E582" s="41" t="str">
        <f>VLOOKUP(Table1[[#This Row],[Eelarvekonto]],Table5[[Konto]:[Konto nimetus]],2,FALSE)</f>
        <v>Administreerimiskulud</v>
      </c>
      <c r="F582" s="41" t="s">
        <v>139</v>
      </c>
      <c r="G582" s="41" t="s">
        <v>24</v>
      </c>
      <c r="J582" s="41" t="s">
        <v>139</v>
      </c>
      <c r="K582" s="41" t="s">
        <v>54</v>
      </c>
      <c r="L582" s="58" t="s">
        <v>404</v>
      </c>
      <c r="M582" s="58" t="str">
        <f>LEFT(Table1[[#This Row],[Tegevusala kood]],2)</f>
        <v>01</v>
      </c>
      <c r="N582" s="41" t="str">
        <f>VLOOKUP(Table1[[#This Row],[Tegevusala kood]],Table4[[Tegevusala kood]:[Tegevusala alanimetus]],2,FALSE)</f>
        <v>Valla- ja linnavalitsus</v>
      </c>
      <c r="O582" s="41" t="s">
        <v>1</v>
      </c>
      <c r="P582" s="41" t="s">
        <v>1</v>
      </c>
      <c r="Q582" s="41" t="str">
        <f>VLOOKUP(Table1[[#This Row],[Eelarvekonto]],Table5[[Konto]:[Kontode alanimetus]],5,FALSE)</f>
        <v>Majandamiskulud</v>
      </c>
      <c r="R582" s="42" t="str">
        <f>VLOOKUP(Table1[[#This Row],[Tegevusala kood]],Table4[[Tegevusala kood]:[Tegevusala alanimetus]],4,FALSE)</f>
        <v>Valla- ja linnavalitsus</v>
      </c>
      <c r="S582" s="53"/>
      <c r="T582" s="53"/>
      <c r="U582" s="53">
        <f>Table1[[#This Row],[Summa]]+Table1[[#This Row],[I Muudatus]]+Table1[[#This Row],[II Muudatus]]</f>
        <v>12000</v>
      </c>
    </row>
    <row r="583" spans="1:21" ht="14.25" hidden="1" customHeight="1" x14ac:dyDescent="0.25">
      <c r="A583" s="41" t="s">
        <v>1107</v>
      </c>
      <c r="B583" s="41">
        <v>720</v>
      </c>
      <c r="C583" s="52">
        <v>5500</v>
      </c>
      <c r="D583" s="52" t="str">
        <f>LEFT(Table1[[#This Row],[Eelarvekonto]],2)</f>
        <v>55</v>
      </c>
      <c r="E583" s="41" t="str">
        <f>VLOOKUP(Table1[[#This Row],[Eelarvekonto]],Table5[[Konto]:[Konto nimetus]],2,FALSE)</f>
        <v>Administreerimiskulud</v>
      </c>
      <c r="F583" s="41" t="s">
        <v>139</v>
      </c>
      <c r="G583" s="41" t="s">
        <v>24</v>
      </c>
      <c r="J583" s="41" t="s">
        <v>139</v>
      </c>
      <c r="K583" s="41" t="s">
        <v>54</v>
      </c>
      <c r="L583" s="58" t="s">
        <v>404</v>
      </c>
      <c r="M583" s="58" t="str">
        <f>LEFT(Table1[[#This Row],[Tegevusala kood]],2)</f>
        <v>01</v>
      </c>
      <c r="N583" s="41" t="str">
        <f>VLOOKUP(Table1[[#This Row],[Tegevusala kood]],Table4[[Tegevusala kood]:[Tegevusala alanimetus]],2,FALSE)</f>
        <v>Valla- ja linnavalitsus</v>
      </c>
      <c r="O583" s="41" t="s">
        <v>1</v>
      </c>
      <c r="P583" s="41" t="s">
        <v>1</v>
      </c>
      <c r="Q583" s="41" t="str">
        <f>VLOOKUP(Table1[[#This Row],[Eelarvekonto]],Table5[[Konto]:[Kontode alanimetus]],5,FALSE)</f>
        <v>Majandamiskulud</v>
      </c>
      <c r="R583" s="42" t="str">
        <f>VLOOKUP(Table1[[#This Row],[Tegevusala kood]],Table4[[Tegevusala kood]:[Tegevusala alanimetus]],4,FALSE)</f>
        <v>Valla- ja linnavalitsus</v>
      </c>
      <c r="S583" s="53"/>
      <c r="T583" s="53"/>
      <c r="U583" s="53">
        <f>Table1[[#This Row],[Summa]]+Table1[[#This Row],[I Muudatus]]+Table1[[#This Row],[II Muudatus]]</f>
        <v>720</v>
      </c>
    </row>
    <row r="584" spans="1:21" ht="14.25" hidden="1" customHeight="1" x14ac:dyDescent="0.25">
      <c r="A584" s="41" t="s">
        <v>1108</v>
      </c>
      <c r="B584" s="41">
        <v>1920</v>
      </c>
      <c r="C584" s="52">
        <v>5500</v>
      </c>
      <c r="D584" s="52" t="str">
        <f>LEFT(Table1[[#This Row],[Eelarvekonto]],2)</f>
        <v>55</v>
      </c>
      <c r="E584" s="41" t="str">
        <f>VLOOKUP(Table1[[#This Row],[Eelarvekonto]],Table5[[Konto]:[Konto nimetus]],2,FALSE)</f>
        <v>Administreerimiskulud</v>
      </c>
      <c r="F584" s="41" t="s">
        <v>139</v>
      </c>
      <c r="G584" s="41" t="s">
        <v>24</v>
      </c>
      <c r="J584" s="41" t="s">
        <v>139</v>
      </c>
      <c r="K584" s="41" t="s">
        <v>54</v>
      </c>
      <c r="L584" s="58" t="s">
        <v>404</v>
      </c>
      <c r="M584" s="58" t="str">
        <f>LEFT(Table1[[#This Row],[Tegevusala kood]],2)</f>
        <v>01</v>
      </c>
      <c r="N584" s="41" t="str">
        <f>VLOOKUP(Table1[[#This Row],[Tegevusala kood]],Table4[[Tegevusala kood]:[Tegevusala alanimetus]],2,FALSE)</f>
        <v>Valla- ja linnavalitsus</v>
      </c>
      <c r="O584" s="41" t="s">
        <v>1</v>
      </c>
      <c r="P584" s="41" t="s">
        <v>1</v>
      </c>
      <c r="Q584" s="41" t="str">
        <f>VLOOKUP(Table1[[#This Row],[Eelarvekonto]],Table5[[Konto]:[Kontode alanimetus]],5,FALSE)</f>
        <v>Majandamiskulud</v>
      </c>
      <c r="R584" s="42" t="str">
        <f>VLOOKUP(Table1[[#This Row],[Tegevusala kood]],Table4[[Tegevusala kood]:[Tegevusala alanimetus]],4,FALSE)</f>
        <v>Valla- ja linnavalitsus</v>
      </c>
      <c r="S584" s="53"/>
      <c r="T584" s="53"/>
      <c r="U584" s="53">
        <f>Table1[[#This Row],[Summa]]+Table1[[#This Row],[I Muudatus]]+Table1[[#This Row],[II Muudatus]]</f>
        <v>1920</v>
      </c>
    </row>
    <row r="585" spans="1:21" ht="14.25" hidden="1" customHeight="1" x14ac:dyDescent="0.25">
      <c r="A585" s="41" t="s">
        <v>1109</v>
      </c>
      <c r="B585" s="41">
        <v>1200</v>
      </c>
      <c r="C585" s="52">
        <v>5500</v>
      </c>
      <c r="D585" s="52" t="str">
        <f>LEFT(Table1[[#This Row],[Eelarvekonto]],2)</f>
        <v>55</v>
      </c>
      <c r="E585" s="41" t="str">
        <f>VLOOKUP(Table1[[#This Row],[Eelarvekonto]],Table5[[Konto]:[Konto nimetus]],2,FALSE)</f>
        <v>Administreerimiskulud</v>
      </c>
      <c r="F585" s="41" t="s">
        <v>139</v>
      </c>
      <c r="G585" s="41" t="s">
        <v>24</v>
      </c>
      <c r="J585" s="41" t="s">
        <v>139</v>
      </c>
      <c r="K585" s="41" t="s">
        <v>54</v>
      </c>
      <c r="L585" s="58" t="s">
        <v>404</v>
      </c>
      <c r="M585" s="58" t="str">
        <f>LEFT(Table1[[#This Row],[Tegevusala kood]],2)</f>
        <v>01</v>
      </c>
      <c r="N585" s="41" t="str">
        <f>VLOOKUP(Table1[[#This Row],[Tegevusala kood]],Table4[[Tegevusala kood]:[Tegevusala alanimetus]],2,FALSE)</f>
        <v>Valla- ja linnavalitsus</v>
      </c>
      <c r="O585" s="41" t="s">
        <v>1</v>
      </c>
      <c r="P585" s="41" t="s">
        <v>1</v>
      </c>
      <c r="Q585" s="41" t="str">
        <f>VLOOKUP(Table1[[#This Row],[Eelarvekonto]],Table5[[Konto]:[Kontode alanimetus]],5,FALSE)</f>
        <v>Majandamiskulud</v>
      </c>
      <c r="R585" s="42" t="str">
        <f>VLOOKUP(Table1[[#This Row],[Tegevusala kood]],Table4[[Tegevusala kood]:[Tegevusala alanimetus]],4,FALSE)</f>
        <v>Valla- ja linnavalitsus</v>
      </c>
      <c r="S585" s="53"/>
      <c r="T585" s="53"/>
      <c r="U585" s="53">
        <f>Table1[[#This Row],[Summa]]+Table1[[#This Row],[I Muudatus]]+Table1[[#This Row],[II Muudatus]]</f>
        <v>1200</v>
      </c>
    </row>
    <row r="586" spans="1:21" ht="14.25" hidden="1" customHeight="1" x14ac:dyDescent="0.25">
      <c r="A586" s="41" t="s">
        <v>1112</v>
      </c>
      <c r="B586" s="64">
        <v>840</v>
      </c>
      <c r="C586" s="52">
        <v>5500</v>
      </c>
      <c r="D586" s="52" t="str">
        <f>LEFT(Table1[[#This Row],[Eelarvekonto]],2)</f>
        <v>55</v>
      </c>
      <c r="E586" s="41" t="str">
        <f>VLOOKUP(Table1[[#This Row],[Eelarvekonto]],Table5[[Konto]:[Konto nimetus]],2,FALSE)</f>
        <v>Administreerimiskulud</v>
      </c>
      <c r="F586" s="41" t="s">
        <v>139</v>
      </c>
      <c r="G586" s="41" t="s">
        <v>24</v>
      </c>
      <c r="J586" s="41" t="s">
        <v>139</v>
      </c>
      <c r="K586" s="41" t="s">
        <v>54</v>
      </c>
      <c r="L586" s="58" t="s">
        <v>404</v>
      </c>
      <c r="M586" s="58" t="str">
        <f>LEFT(Table1[[#This Row],[Tegevusala kood]],2)</f>
        <v>01</v>
      </c>
      <c r="N586" s="41" t="str">
        <f>VLOOKUP(Table1[[#This Row],[Tegevusala kood]],Table4[[Tegevusala kood]:[Tegevusala alanimetus]],2,FALSE)</f>
        <v>Valla- ja linnavalitsus</v>
      </c>
      <c r="Q586" s="41" t="str">
        <f>VLOOKUP(Table1[[#This Row],[Eelarvekonto]],Table5[[Konto]:[Kontode alanimetus]],5,FALSE)</f>
        <v>Majandamiskulud</v>
      </c>
      <c r="R586" s="42" t="str">
        <f>VLOOKUP(Table1[[#This Row],[Tegevusala kood]],Table4[[Tegevusala kood]:[Tegevusala alanimetus]],4,FALSE)</f>
        <v>Valla- ja linnavalitsus</v>
      </c>
      <c r="S586" s="53"/>
      <c r="T586" s="53"/>
      <c r="U586" s="53">
        <f>Table1[[#This Row],[Summa]]+Table1[[#This Row],[I Muudatus]]+Table1[[#This Row],[II Muudatus]]</f>
        <v>840</v>
      </c>
    </row>
    <row r="587" spans="1:21" ht="14.25" hidden="1" customHeight="1" x14ac:dyDescent="0.25">
      <c r="A587" s="41" t="s">
        <v>1113</v>
      </c>
      <c r="B587" s="64">
        <v>39.6</v>
      </c>
      <c r="C587" s="52">
        <v>5500</v>
      </c>
      <c r="D587" s="52" t="str">
        <f>LEFT(Table1[[#This Row],[Eelarvekonto]],2)</f>
        <v>55</v>
      </c>
      <c r="E587" s="41" t="str">
        <f>VLOOKUP(Table1[[#This Row],[Eelarvekonto]],Table5[[Konto]:[Konto nimetus]],2,FALSE)</f>
        <v>Administreerimiskulud</v>
      </c>
      <c r="F587" s="41" t="s">
        <v>139</v>
      </c>
      <c r="G587" s="41" t="s">
        <v>24</v>
      </c>
      <c r="J587" s="41" t="s">
        <v>139</v>
      </c>
      <c r="K587" s="41" t="s">
        <v>54</v>
      </c>
      <c r="L587" s="58" t="s">
        <v>404</v>
      </c>
      <c r="M587" s="58" t="str">
        <f>LEFT(Table1[[#This Row],[Tegevusala kood]],2)</f>
        <v>01</v>
      </c>
      <c r="N587" s="41" t="str">
        <f>VLOOKUP(Table1[[#This Row],[Tegevusala kood]],Table4[[Tegevusala kood]:[Tegevusala alanimetus]],2,FALSE)</f>
        <v>Valla- ja linnavalitsus</v>
      </c>
      <c r="Q587" s="41" t="str">
        <f>VLOOKUP(Table1[[#This Row],[Eelarvekonto]],Table5[[Konto]:[Kontode alanimetus]],5,FALSE)</f>
        <v>Majandamiskulud</v>
      </c>
      <c r="R587" s="42" t="str">
        <f>VLOOKUP(Table1[[#This Row],[Tegevusala kood]],Table4[[Tegevusala kood]:[Tegevusala alanimetus]],4,FALSE)</f>
        <v>Valla- ja linnavalitsus</v>
      </c>
      <c r="S587" s="53"/>
      <c r="T587" s="53"/>
      <c r="U587" s="53">
        <f>Table1[[#This Row],[Summa]]+Table1[[#This Row],[I Muudatus]]+Table1[[#This Row],[II Muudatus]]</f>
        <v>39.6</v>
      </c>
    </row>
    <row r="588" spans="1:21" ht="14.25" hidden="1" customHeight="1" x14ac:dyDescent="0.25">
      <c r="A588" s="41" t="s">
        <v>1114</v>
      </c>
      <c r="B588" s="64">
        <v>165.6</v>
      </c>
      <c r="C588" s="52">
        <v>5500</v>
      </c>
      <c r="D588" s="52" t="str">
        <f>LEFT(Table1[[#This Row],[Eelarvekonto]],2)</f>
        <v>55</v>
      </c>
      <c r="E588" s="41" t="str">
        <f>VLOOKUP(Table1[[#This Row],[Eelarvekonto]],Table5[[Konto]:[Konto nimetus]],2,FALSE)</f>
        <v>Administreerimiskulud</v>
      </c>
      <c r="F588" s="41" t="s">
        <v>139</v>
      </c>
      <c r="G588" s="41" t="s">
        <v>24</v>
      </c>
      <c r="J588" s="41" t="s">
        <v>139</v>
      </c>
      <c r="K588" s="41" t="s">
        <v>54</v>
      </c>
      <c r="L588" s="58" t="s">
        <v>404</v>
      </c>
      <c r="M588" s="58" t="str">
        <f>LEFT(Table1[[#This Row],[Tegevusala kood]],2)</f>
        <v>01</v>
      </c>
      <c r="N588" s="41" t="str">
        <f>VLOOKUP(Table1[[#This Row],[Tegevusala kood]],Table4[[Tegevusala kood]:[Tegevusala alanimetus]],2,FALSE)</f>
        <v>Valla- ja linnavalitsus</v>
      </c>
      <c r="Q588" s="41" t="str">
        <f>VLOOKUP(Table1[[#This Row],[Eelarvekonto]],Table5[[Konto]:[Kontode alanimetus]],5,FALSE)</f>
        <v>Majandamiskulud</v>
      </c>
      <c r="R588" s="42" t="str">
        <f>VLOOKUP(Table1[[#This Row],[Tegevusala kood]],Table4[[Tegevusala kood]:[Tegevusala alanimetus]],4,FALSE)</f>
        <v>Valla- ja linnavalitsus</v>
      </c>
      <c r="S588" s="53"/>
      <c r="T588" s="53"/>
      <c r="U588" s="53">
        <f>Table1[[#This Row],[Summa]]+Table1[[#This Row],[I Muudatus]]+Table1[[#This Row],[II Muudatus]]</f>
        <v>165.6</v>
      </c>
    </row>
    <row r="589" spans="1:21" ht="14.25" hidden="1" customHeight="1" x14ac:dyDescent="0.25">
      <c r="A589" s="41" t="s">
        <v>1115</v>
      </c>
      <c r="B589" s="64">
        <v>2400</v>
      </c>
      <c r="C589" s="52">
        <v>5500</v>
      </c>
      <c r="D589" s="52" t="str">
        <f>LEFT(Table1[[#This Row],[Eelarvekonto]],2)</f>
        <v>55</v>
      </c>
      <c r="E589" s="41" t="str">
        <f>VLOOKUP(Table1[[#This Row],[Eelarvekonto]],Table5[[Konto]:[Konto nimetus]],2,FALSE)</f>
        <v>Administreerimiskulud</v>
      </c>
      <c r="F589" s="41" t="s">
        <v>139</v>
      </c>
      <c r="G589" s="41" t="s">
        <v>24</v>
      </c>
      <c r="J589" s="41" t="s">
        <v>139</v>
      </c>
      <c r="K589" s="41" t="s">
        <v>54</v>
      </c>
      <c r="L589" s="58" t="s">
        <v>404</v>
      </c>
      <c r="M589" s="58" t="str">
        <f>LEFT(Table1[[#This Row],[Tegevusala kood]],2)</f>
        <v>01</v>
      </c>
      <c r="N589" s="41" t="str">
        <f>VLOOKUP(Table1[[#This Row],[Tegevusala kood]],Table4[[Tegevusala kood]:[Tegevusala alanimetus]],2,FALSE)</f>
        <v>Valla- ja linnavalitsus</v>
      </c>
      <c r="Q589" s="41" t="str">
        <f>VLOOKUP(Table1[[#This Row],[Eelarvekonto]],Table5[[Konto]:[Kontode alanimetus]],5,FALSE)</f>
        <v>Majandamiskulud</v>
      </c>
      <c r="R589" s="42" t="str">
        <f>VLOOKUP(Table1[[#This Row],[Tegevusala kood]],Table4[[Tegevusala kood]:[Tegevusala alanimetus]],4,FALSE)</f>
        <v>Valla- ja linnavalitsus</v>
      </c>
      <c r="S589" s="53"/>
      <c r="T589" s="53"/>
      <c r="U589" s="53">
        <f>Table1[[#This Row],[Summa]]+Table1[[#This Row],[I Muudatus]]+Table1[[#This Row],[II Muudatus]]</f>
        <v>2400</v>
      </c>
    </row>
    <row r="590" spans="1:21" ht="14.25" hidden="1" customHeight="1" x14ac:dyDescent="0.25">
      <c r="A590" s="41" t="s">
        <v>1116</v>
      </c>
      <c r="B590" s="41">
        <v>7600</v>
      </c>
      <c r="C590" s="52">
        <v>5500</v>
      </c>
      <c r="D590" s="52" t="str">
        <f>LEFT(Table1[[#This Row],[Eelarvekonto]],2)</f>
        <v>55</v>
      </c>
      <c r="E590" s="41" t="str">
        <f>VLOOKUP(Table1[[#This Row],[Eelarvekonto]],Table5[[Konto]:[Konto nimetus]],2,FALSE)</f>
        <v>Administreerimiskulud</v>
      </c>
      <c r="F590" s="41" t="s">
        <v>139</v>
      </c>
      <c r="G590" s="41" t="s">
        <v>24</v>
      </c>
      <c r="J590" s="41" t="s">
        <v>139</v>
      </c>
      <c r="K590" s="41" t="s">
        <v>54</v>
      </c>
      <c r="L590" s="58" t="s">
        <v>404</v>
      </c>
      <c r="M590" s="58" t="str">
        <f>LEFT(Table1[[#This Row],[Tegevusala kood]],2)</f>
        <v>01</v>
      </c>
      <c r="N590" s="41" t="str">
        <f>VLOOKUP(Table1[[#This Row],[Tegevusala kood]],Table4[[Tegevusala kood]:[Tegevusala alanimetus]],2,FALSE)</f>
        <v>Valla- ja linnavalitsus</v>
      </c>
      <c r="O590" s="41" t="s">
        <v>1</v>
      </c>
      <c r="P590" s="41" t="s">
        <v>1</v>
      </c>
      <c r="Q590" s="41" t="str">
        <f>VLOOKUP(Table1[[#This Row],[Eelarvekonto]],Table5[[Konto]:[Kontode alanimetus]],5,FALSE)</f>
        <v>Majandamiskulud</v>
      </c>
      <c r="R590" s="42" t="str">
        <f>VLOOKUP(Table1[[#This Row],[Tegevusala kood]],Table4[[Tegevusala kood]:[Tegevusala alanimetus]],4,FALSE)</f>
        <v>Valla- ja linnavalitsus</v>
      </c>
      <c r="S590" s="53"/>
      <c r="T590" s="53"/>
      <c r="U590" s="53">
        <f>Table1[[#This Row],[Summa]]+Table1[[#This Row],[I Muudatus]]+Table1[[#This Row],[II Muudatus]]</f>
        <v>7600</v>
      </c>
    </row>
    <row r="591" spans="1:21" ht="14.25" hidden="1" customHeight="1" x14ac:dyDescent="0.25">
      <c r="A591" s="41" t="s">
        <v>1119</v>
      </c>
      <c r="B591" s="41">
        <v>4300</v>
      </c>
      <c r="C591" s="52">
        <v>5500</v>
      </c>
      <c r="D591" s="52" t="str">
        <f>LEFT(Table1[[#This Row],[Eelarvekonto]],2)</f>
        <v>55</v>
      </c>
      <c r="E591" s="41" t="str">
        <f>VLOOKUP(Table1[[#This Row],[Eelarvekonto]],Table5[[Konto]:[Konto nimetus]],2,FALSE)</f>
        <v>Administreerimiskulud</v>
      </c>
      <c r="F591" s="41" t="s">
        <v>139</v>
      </c>
      <c r="G591" s="41" t="s">
        <v>24</v>
      </c>
      <c r="J591" s="41" t="s">
        <v>139</v>
      </c>
      <c r="K591" s="41" t="s">
        <v>54</v>
      </c>
      <c r="L591" s="58" t="s">
        <v>404</v>
      </c>
      <c r="M591" s="58" t="str">
        <f>LEFT(Table1[[#This Row],[Tegevusala kood]],2)</f>
        <v>01</v>
      </c>
      <c r="N591" s="41" t="str">
        <f>VLOOKUP(Table1[[#This Row],[Tegevusala kood]],Table4[[Tegevusala kood]:[Tegevusala alanimetus]],2,FALSE)</f>
        <v>Valla- ja linnavalitsus</v>
      </c>
      <c r="O591" s="41" t="s">
        <v>1</v>
      </c>
      <c r="P591" s="41" t="s">
        <v>1</v>
      </c>
      <c r="Q591" s="41" t="str">
        <f>VLOOKUP(Table1[[#This Row],[Eelarvekonto]],Table5[[Konto]:[Kontode alanimetus]],5,FALSE)</f>
        <v>Majandamiskulud</v>
      </c>
      <c r="R591" s="42" t="str">
        <f>VLOOKUP(Table1[[#This Row],[Tegevusala kood]],Table4[[Tegevusala kood]:[Tegevusala alanimetus]],4,FALSE)</f>
        <v>Valla- ja linnavalitsus</v>
      </c>
      <c r="S591" s="53"/>
      <c r="T591" s="53"/>
      <c r="U591" s="53">
        <f>Table1[[#This Row],[Summa]]+Table1[[#This Row],[I Muudatus]]+Table1[[#This Row],[II Muudatus]]</f>
        <v>4300</v>
      </c>
    </row>
    <row r="592" spans="1:21" ht="14.25" hidden="1" customHeight="1" x14ac:dyDescent="0.25">
      <c r="A592" s="41" t="s">
        <v>1123</v>
      </c>
      <c r="B592" s="41">
        <v>8000</v>
      </c>
      <c r="C592" s="52">
        <v>5500</v>
      </c>
      <c r="D592" s="52" t="str">
        <f>LEFT(Table1[[#This Row],[Eelarvekonto]],2)</f>
        <v>55</v>
      </c>
      <c r="E592" s="41" t="str">
        <f>VLOOKUP(Table1[[#This Row],[Eelarvekonto]],Table5[[Konto]:[Konto nimetus]],2,FALSE)</f>
        <v>Administreerimiskulud</v>
      </c>
      <c r="F592" s="41" t="s">
        <v>139</v>
      </c>
      <c r="G592" s="41" t="s">
        <v>24</v>
      </c>
      <c r="J592" s="41" t="s">
        <v>139</v>
      </c>
      <c r="K592" s="41" t="s">
        <v>54</v>
      </c>
      <c r="L592" s="58" t="s">
        <v>404</v>
      </c>
      <c r="M592" s="58" t="str">
        <f>LEFT(Table1[[#This Row],[Tegevusala kood]],2)</f>
        <v>01</v>
      </c>
      <c r="N592" s="41" t="str">
        <f>VLOOKUP(Table1[[#This Row],[Tegevusala kood]],Table4[[Tegevusala kood]:[Tegevusala alanimetus]],2,FALSE)</f>
        <v>Valla- ja linnavalitsus</v>
      </c>
      <c r="O592" s="41" t="s">
        <v>1</v>
      </c>
      <c r="P592" s="41" t="s">
        <v>1</v>
      </c>
      <c r="Q592" s="41" t="str">
        <f>VLOOKUP(Table1[[#This Row],[Eelarvekonto]],Table5[[Konto]:[Kontode alanimetus]],5,FALSE)</f>
        <v>Majandamiskulud</v>
      </c>
      <c r="R592" s="42" t="str">
        <f>VLOOKUP(Table1[[#This Row],[Tegevusala kood]],Table4[[Tegevusala kood]:[Tegevusala alanimetus]],4,FALSE)</f>
        <v>Valla- ja linnavalitsus</v>
      </c>
      <c r="S592" s="53"/>
      <c r="T592" s="53"/>
      <c r="U592" s="53">
        <f>Table1[[#This Row],[Summa]]+Table1[[#This Row],[I Muudatus]]+Table1[[#This Row],[II Muudatus]]</f>
        <v>8000</v>
      </c>
    </row>
    <row r="593" spans="1:21" ht="14.25" hidden="1" customHeight="1" x14ac:dyDescent="0.25">
      <c r="A593" s="41" t="s">
        <v>753</v>
      </c>
      <c r="B593" s="68">
        <v>27000</v>
      </c>
      <c r="C593" s="52">
        <v>5502</v>
      </c>
      <c r="D593" s="52" t="str">
        <f>LEFT(Table1[[#This Row],[Eelarvekonto]],2)</f>
        <v>55</v>
      </c>
      <c r="E593" s="41" t="str">
        <f>VLOOKUP(Table1[[#This Row],[Eelarvekonto]],Table5[[Konto]:[Konto nimetus]],2,FALSE)</f>
        <v>Uurimis- ja arendustööd</v>
      </c>
      <c r="F593" s="41" t="s">
        <v>139</v>
      </c>
      <c r="G593" s="41" t="s">
        <v>24</v>
      </c>
      <c r="J593" s="41" t="s">
        <v>139</v>
      </c>
      <c r="K593" s="41" t="s">
        <v>54</v>
      </c>
      <c r="L593" s="58" t="s">
        <v>404</v>
      </c>
      <c r="M593" s="58" t="str">
        <f>LEFT(Table1[[#This Row],[Tegevusala kood]],2)</f>
        <v>01</v>
      </c>
      <c r="N593" s="41" t="str">
        <f>VLOOKUP(Table1[[#This Row],[Tegevusala kood]],Table4[[Tegevusala kood]:[Tegevusala alanimetus]],2,FALSE)</f>
        <v>Valla- ja linnavalitsus</v>
      </c>
      <c r="O593" s="41" t="s">
        <v>1</v>
      </c>
      <c r="P593" s="41" t="s">
        <v>1</v>
      </c>
      <c r="Q593" s="41" t="str">
        <f>VLOOKUP(Table1[[#This Row],[Eelarvekonto]],Table5[[Konto]:[Kontode alanimetus]],5,FALSE)</f>
        <v>Majandamiskulud</v>
      </c>
      <c r="R593" s="42" t="str">
        <f>VLOOKUP(Table1[[#This Row],[Tegevusala kood]],Table4[[Tegevusala kood]:[Tegevusala alanimetus]],4,FALSE)</f>
        <v>Valla- ja linnavalitsus</v>
      </c>
      <c r="S593" s="53"/>
      <c r="T593" s="53"/>
      <c r="U593" s="53">
        <f>Table1[[#This Row],[Summa]]+Table1[[#This Row],[I Muudatus]]+Table1[[#This Row],[II Muudatus]]</f>
        <v>27000</v>
      </c>
    </row>
    <row r="594" spans="1:21" ht="14.25" hidden="1" customHeight="1" x14ac:dyDescent="0.25">
      <c r="A594" s="41" t="s">
        <v>1125</v>
      </c>
      <c r="B594" s="68">
        <v>1500</v>
      </c>
      <c r="C594" s="52">
        <v>5503</v>
      </c>
      <c r="D594" s="52" t="str">
        <f>LEFT(Table1[[#This Row],[Eelarvekonto]],2)</f>
        <v>55</v>
      </c>
      <c r="E594" s="41" t="str">
        <f>VLOOKUP(Table1[[#This Row],[Eelarvekonto]],Table5[[Konto]:[Konto nimetus]],2,FALSE)</f>
        <v>Lähetuskulud (v.a koolituslähetus)</v>
      </c>
      <c r="F594" s="41" t="s">
        <v>139</v>
      </c>
      <c r="G594" s="41" t="s">
        <v>24</v>
      </c>
      <c r="J594" s="41" t="s">
        <v>139</v>
      </c>
      <c r="K594" s="41" t="s">
        <v>54</v>
      </c>
      <c r="L594" s="58" t="s">
        <v>404</v>
      </c>
      <c r="M594" s="58" t="str">
        <f>LEFT(Table1[[#This Row],[Tegevusala kood]],2)</f>
        <v>01</v>
      </c>
      <c r="N594" s="41" t="str">
        <f>VLOOKUP(Table1[[#This Row],[Tegevusala kood]],Table4[[Tegevusala kood]:[Tegevusala alanimetus]],2,FALSE)</f>
        <v>Valla- ja linnavalitsus</v>
      </c>
      <c r="O594" s="41" t="s">
        <v>1</v>
      </c>
      <c r="P594" s="41" t="s">
        <v>1</v>
      </c>
      <c r="Q594" s="41" t="str">
        <f>VLOOKUP(Table1[[#This Row],[Eelarvekonto]],Table5[[Konto]:[Kontode alanimetus]],5,FALSE)</f>
        <v>Majandamiskulud</v>
      </c>
      <c r="R594" s="42" t="str">
        <f>VLOOKUP(Table1[[#This Row],[Tegevusala kood]],Table4[[Tegevusala kood]:[Tegevusala alanimetus]],4,FALSE)</f>
        <v>Valla- ja linnavalitsus</v>
      </c>
      <c r="S594" s="53"/>
      <c r="T594" s="53"/>
      <c r="U594" s="53">
        <f>Table1[[#This Row],[Summa]]+Table1[[#This Row],[I Muudatus]]+Table1[[#This Row],[II Muudatus]]</f>
        <v>1500</v>
      </c>
    </row>
    <row r="595" spans="1:21" ht="14.25" hidden="1" customHeight="1" x14ac:dyDescent="0.25">
      <c r="A595" s="41" t="s">
        <v>1551</v>
      </c>
      <c r="B595" s="68">
        <v>1600</v>
      </c>
      <c r="C595" s="52">
        <v>5504</v>
      </c>
      <c r="D595" s="52" t="str">
        <f>LEFT(Table1[[#This Row],[Eelarvekonto]],2)</f>
        <v>55</v>
      </c>
      <c r="E595" s="41" t="str">
        <f>VLOOKUP(Table1[[#This Row],[Eelarvekonto]],Table5[[Konto]:[Konto nimetus]],2,FALSE)</f>
        <v>Koolituskulud (sh koolituslähetus)</v>
      </c>
      <c r="F595" s="41" t="s">
        <v>139</v>
      </c>
      <c r="G595" s="41" t="s">
        <v>24</v>
      </c>
      <c r="J595" s="41" t="s">
        <v>406</v>
      </c>
      <c r="K595" s="41" t="s">
        <v>405</v>
      </c>
      <c r="L595" s="58" t="s">
        <v>404</v>
      </c>
      <c r="M595" s="58" t="str">
        <f>LEFT(Table1[[#This Row],[Tegevusala kood]],2)</f>
        <v>01</v>
      </c>
      <c r="N595" s="41" t="str">
        <f>VLOOKUP(Table1[[#This Row],[Tegevusala kood]],Table4[[Tegevusala kood]:[Tegevusala alanimetus]],2,FALSE)</f>
        <v>Valla- ja linnavalitsus</v>
      </c>
      <c r="O595" s="41" t="s">
        <v>1</v>
      </c>
      <c r="P595" s="41" t="s">
        <v>1</v>
      </c>
      <c r="Q595" s="41" t="str">
        <f>VLOOKUP(Table1[[#This Row],[Eelarvekonto]],Table5[[Konto]:[Kontode alanimetus]],5,FALSE)</f>
        <v>Majandamiskulud</v>
      </c>
      <c r="R595" s="42" t="str">
        <f>VLOOKUP(Table1[[#This Row],[Tegevusala kood]],Table4[[Tegevusala kood]:[Tegevusala alanimetus]],4,FALSE)</f>
        <v>Valla- ja linnavalitsus</v>
      </c>
      <c r="S595" s="53"/>
      <c r="T595" s="53"/>
      <c r="U595" s="53">
        <f>Table1[[#This Row],[Summa]]+Table1[[#This Row],[I Muudatus]]+Table1[[#This Row],[II Muudatus]]</f>
        <v>1600</v>
      </c>
    </row>
    <row r="596" spans="1:21" ht="14.25" hidden="1" customHeight="1" x14ac:dyDescent="0.25">
      <c r="A596" s="41" t="s">
        <v>1101</v>
      </c>
      <c r="B596" s="68">
        <v>12000</v>
      </c>
      <c r="C596" s="52">
        <v>5504</v>
      </c>
      <c r="D596" s="52" t="str">
        <f>LEFT(Table1[[#This Row],[Eelarvekonto]],2)</f>
        <v>55</v>
      </c>
      <c r="E596" s="41" t="str">
        <f>VLOOKUP(Table1[[#This Row],[Eelarvekonto]],Table5[[Konto]:[Konto nimetus]],2,FALSE)</f>
        <v>Koolituskulud (sh koolituslähetus)</v>
      </c>
      <c r="F596" s="41" t="s">
        <v>139</v>
      </c>
      <c r="G596" s="41" t="s">
        <v>24</v>
      </c>
      <c r="J596" s="41" t="s">
        <v>139</v>
      </c>
      <c r="K596" s="41" t="s">
        <v>54</v>
      </c>
      <c r="L596" s="58" t="s">
        <v>404</v>
      </c>
      <c r="M596" s="58" t="str">
        <f>LEFT(Table1[[#This Row],[Tegevusala kood]],2)</f>
        <v>01</v>
      </c>
      <c r="N596" s="41" t="str">
        <f>VLOOKUP(Table1[[#This Row],[Tegevusala kood]],Table4[[Tegevusala kood]:[Tegevusala alanimetus]],2,FALSE)</f>
        <v>Valla- ja linnavalitsus</v>
      </c>
      <c r="O596" s="41" t="s">
        <v>1</v>
      </c>
      <c r="P596" s="41" t="s">
        <v>1</v>
      </c>
      <c r="Q596" s="41" t="str">
        <f>VLOOKUP(Table1[[#This Row],[Eelarvekonto]],Table5[[Konto]:[Kontode alanimetus]],5,FALSE)</f>
        <v>Majandamiskulud</v>
      </c>
      <c r="R596" s="42" t="str">
        <f>VLOOKUP(Table1[[#This Row],[Tegevusala kood]],Table4[[Tegevusala kood]:[Tegevusala alanimetus]],4,FALSE)</f>
        <v>Valla- ja linnavalitsus</v>
      </c>
      <c r="S596" s="53"/>
      <c r="T596" s="67"/>
      <c r="U596" s="53">
        <f>Table1[[#This Row],[Summa]]+Table1[[#This Row],[I Muudatus]]+Table1[[#This Row],[II Muudatus]]</f>
        <v>12000</v>
      </c>
    </row>
    <row r="597" spans="1:21" ht="14.25" hidden="1" customHeight="1" x14ac:dyDescent="0.25">
      <c r="A597" s="41" t="s">
        <v>1552</v>
      </c>
      <c r="B597" s="41">
        <v>2400</v>
      </c>
      <c r="C597" s="52">
        <v>5504</v>
      </c>
      <c r="D597" s="52" t="str">
        <f>LEFT(Table1[[#This Row],[Eelarvekonto]],2)</f>
        <v>55</v>
      </c>
      <c r="E597" s="41" t="str">
        <f>VLOOKUP(Table1[[#This Row],[Eelarvekonto]],Table5[[Konto]:[Konto nimetus]],2,FALSE)</f>
        <v>Koolituskulud (sh koolituslähetus)</v>
      </c>
      <c r="F597" s="41" t="s">
        <v>139</v>
      </c>
      <c r="G597" s="41" t="s">
        <v>24</v>
      </c>
      <c r="J597" s="41" t="s">
        <v>139</v>
      </c>
      <c r="K597" s="41" t="s">
        <v>54</v>
      </c>
      <c r="L597" s="58" t="s">
        <v>404</v>
      </c>
      <c r="M597" s="58" t="str">
        <f>LEFT(Table1[[#This Row],[Tegevusala kood]],2)</f>
        <v>01</v>
      </c>
      <c r="N597" s="41" t="str">
        <f>VLOOKUP(Table1[[#This Row],[Tegevusala kood]],Table4[[Tegevusala kood]:[Tegevusala alanimetus]],2,FALSE)</f>
        <v>Valla- ja linnavalitsus</v>
      </c>
      <c r="O597" s="41" t="s">
        <v>1</v>
      </c>
      <c r="P597" s="41" t="s">
        <v>1</v>
      </c>
      <c r="Q597" s="41" t="str">
        <f>VLOOKUP(Table1[[#This Row],[Eelarvekonto]],Table5[[Konto]:[Kontode alanimetus]],5,FALSE)</f>
        <v>Majandamiskulud</v>
      </c>
      <c r="R597" s="42" t="str">
        <f>VLOOKUP(Table1[[#This Row],[Tegevusala kood]],Table4[[Tegevusala kood]:[Tegevusala alanimetus]],4,FALSE)</f>
        <v>Valla- ja linnavalitsus</v>
      </c>
      <c r="S597" s="53"/>
      <c r="T597" s="53"/>
      <c r="U597" s="53">
        <f>Table1[[#This Row],[Summa]]+Table1[[#This Row],[I Muudatus]]+Table1[[#This Row],[II Muudatus]]</f>
        <v>2400</v>
      </c>
    </row>
    <row r="598" spans="1:21" ht="14.25" hidden="1" customHeight="1" x14ac:dyDescent="0.25">
      <c r="A598" s="41" t="s">
        <v>171</v>
      </c>
      <c r="B598" s="41">
        <v>250</v>
      </c>
      <c r="C598" s="52">
        <v>5511</v>
      </c>
      <c r="D598" s="52" t="str">
        <f>LEFT(Table1[[#This Row],[Eelarvekonto]],2)</f>
        <v>55</v>
      </c>
      <c r="E598" s="41" t="str">
        <f>VLOOKUP(Table1[[#This Row],[Eelarvekonto]],Table5[[Konto]:[Konto nimetus]],2,FALSE)</f>
        <v>Kinnistute, hoonete ja ruumide majandamiskulud</v>
      </c>
      <c r="F598" s="41" t="s">
        <v>139</v>
      </c>
      <c r="G598" s="41" t="s">
        <v>24</v>
      </c>
      <c r="J598" s="41" t="s">
        <v>139</v>
      </c>
      <c r="K598" s="41" t="s">
        <v>54</v>
      </c>
      <c r="L598" s="58" t="s">
        <v>404</v>
      </c>
      <c r="M598" s="58" t="str">
        <f>LEFT(Table1[[#This Row],[Tegevusala kood]],2)</f>
        <v>01</v>
      </c>
      <c r="N598" s="41" t="str">
        <f>VLOOKUP(Table1[[#This Row],[Tegevusala kood]],Table4[[Tegevusala kood]:[Tegevusala alanimetus]],2,FALSE)</f>
        <v>Valla- ja linnavalitsus</v>
      </c>
      <c r="O598" s="41" t="s">
        <v>1</v>
      </c>
      <c r="P598" s="41" t="s">
        <v>1</v>
      </c>
      <c r="Q598" s="41" t="str">
        <f>VLOOKUP(Table1[[#This Row],[Eelarvekonto]],Table5[[Konto]:[Kontode alanimetus]],5,FALSE)</f>
        <v>Majandamiskulud</v>
      </c>
      <c r="R598" s="42" t="str">
        <f>VLOOKUP(Table1[[#This Row],[Tegevusala kood]],Table4[[Tegevusala kood]:[Tegevusala alanimetus]],4,FALSE)</f>
        <v>Valla- ja linnavalitsus</v>
      </c>
      <c r="S598" s="53"/>
      <c r="T598" s="53"/>
      <c r="U598" s="53">
        <f>Table1[[#This Row],[Summa]]+Table1[[#This Row],[I Muudatus]]+Table1[[#This Row],[II Muudatus]]</f>
        <v>250</v>
      </c>
    </row>
    <row r="599" spans="1:21" ht="14.25" hidden="1" customHeight="1" x14ac:dyDescent="0.25">
      <c r="A599" s="41" t="s">
        <v>1110</v>
      </c>
      <c r="B599" s="41">
        <v>2640</v>
      </c>
      <c r="C599" s="52">
        <v>5511</v>
      </c>
      <c r="D599" s="52" t="str">
        <f>LEFT(Table1[[#This Row],[Eelarvekonto]],2)</f>
        <v>55</v>
      </c>
      <c r="E599" s="41" t="str">
        <f>VLOOKUP(Table1[[#This Row],[Eelarvekonto]],Table5[[Konto]:[Konto nimetus]],2,FALSE)</f>
        <v>Kinnistute, hoonete ja ruumide majandamiskulud</v>
      </c>
      <c r="F599" s="41" t="s">
        <v>139</v>
      </c>
      <c r="G599" s="41" t="s">
        <v>24</v>
      </c>
      <c r="J599" s="41" t="s">
        <v>139</v>
      </c>
      <c r="K599" s="41" t="s">
        <v>54</v>
      </c>
      <c r="L599" s="58" t="s">
        <v>404</v>
      </c>
      <c r="M599" s="58" t="str">
        <f>LEFT(Table1[[#This Row],[Tegevusala kood]],2)</f>
        <v>01</v>
      </c>
      <c r="N599" s="41" t="str">
        <f>VLOOKUP(Table1[[#This Row],[Tegevusala kood]],Table4[[Tegevusala kood]:[Tegevusala alanimetus]],2,FALSE)</f>
        <v>Valla- ja linnavalitsus</v>
      </c>
      <c r="O599" s="41" t="s">
        <v>1</v>
      </c>
      <c r="P599" s="41" t="s">
        <v>1</v>
      </c>
      <c r="Q599" s="41" t="str">
        <f>VLOOKUP(Table1[[#This Row],[Eelarvekonto]],Table5[[Konto]:[Kontode alanimetus]],5,FALSE)</f>
        <v>Majandamiskulud</v>
      </c>
      <c r="R599" s="42" t="str">
        <f>VLOOKUP(Table1[[#This Row],[Tegevusala kood]],Table4[[Tegevusala kood]:[Tegevusala alanimetus]],4,FALSE)</f>
        <v>Valla- ja linnavalitsus</v>
      </c>
      <c r="S599" s="53"/>
      <c r="T599" s="53"/>
      <c r="U599" s="53">
        <f>Table1[[#This Row],[Summa]]+Table1[[#This Row],[I Muudatus]]+Table1[[#This Row],[II Muudatus]]</f>
        <v>2640</v>
      </c>
    </row>
    <row r="600" spans="1:21" ht="14.25" hidden="1" customHeight="1" x14ac:dyDescent="0.25">
      <c r="A600" s="41" t="s">
        <v>1121</v>
      </c>
      <c r="B600" s="41">
        <v>650</v>
      </c>
      <c r="C600" s="52">
        <v>5511</v>
      </c>
      <c r="D600" s="52" t="str">
        <f>LEFT(Table1[[#This Row],[Eelarvekonto]],2)</f>
        <v>55</v>
      </c>
      <c r="E600" s="41" t="str">
        <f>VLOOKUP(Table1[[#This Row],[Eelarvekonto]],Table5[[Konto]:[Konto nimetus]],2,FALSE)</f>
        <v>Kinnistute, hoonete ja ruumide majandamiskulud</v>
      </c>
      <c r="F600" s="41" t="s">
        <v>139</v>
      </c>
      <c r="G600" s="41" t="s">
        <v>24</v>
      </c>
      <c r="J600" s="41" t="s">
        <v>139</v>
      </c>
      <c r="K600" s="41" t="s">
        <v>54</v>
      </c>
      <c r="L600" s="58" t="s">
        <v>404</v>
      </c>
      <c r="M600" s="58" t="str">
        <f>LEFT(Table1[[#This Row],[Tegevusala kood]],2)</f>
        <v>01</v>
      </c>
      <c r="N600" s="41" t="str">
        <f>VLOOKUP(Table1[[#This Row],[Tegevusala kood]],Table4[[Tegevusala kood]:[Tegevusala alanimetus]],2,FALSE)</f>
        <v>Valla- ja linnavalitsus</v>
      </c>
      <c r="O600" s="41" t="s">
        <v>1</v>
      </c>
      <c r="P600" s="41" t="s">
        <v>1</v>
      </c>
      <c r="Q600" s="41" t="str">
        <f>VLOOKUP(Table1[[#This Row],[Eelarvekonto]],Table5[[Konto]:[Kontode alanimetus]],5,FALSE)</f>
        <v>Majandamiskulud</v>
      </c>
      <c r="R600" s="42" t="str">
        <f>VLOOKUP(Table1[[#This Row],[Tegevusala kood]],Table4[[Tegevusala kood]:[Tegevusala alanimetus]],4,FALSE)</f>
        <v>Valla- ja linnavalitsus</v>
      </c>
      <c r="S600" s="53"/>
      <c r="T600" s="53"/>
      <c r="U600" s="53">
        <f>Table1[[#This Row],[Summa]]+Table1[[#This Row],[I Muudatus]]+Table1[[#This Row],[II Muudatus]]</f>
        <v>650</v>
      </c>
    </row>
    <row r="601" spans="1:21" ht="14.25" hidden="1" customHeight="1" x14ac:dyDescent="0.25">
      <c r="A601" s="41" t="s">
        <v>170</v>
      </c>
      <c r="B601" s="41">
        <v>550</v>
      </c>
      <c r="C601" s="52">
        <v>5511</v>
      </c>
      <c r="D601" s="52" t="str">
        <f>LEFT(Table1[[#This Row],[Eelarvekonto]],2)</f>
        <v>55</v>
      </c>
      <c r="E601" s="41" t="str">
        <f>VLOOKUP(Table1[[#This Row],[Eelarvekonto]],Table5[[Konto]:[Konto nimetus]],2,FALSE)</f>
        <v>Kinnistute, hoonete ja ruumide majandamiskulud</v>
      </c>
      <c r="F601" s="41" t="s">
        <v>139</v>
      </c>
      <c r="G601" s="41" t="s">
        <v>24</v>
      </c>
      <c r="J601" s="41" t="s">
        <v>139</v>
      </c>
      <c r="K601" s="41" t="s">
        <v>54</v>
      </c>
      <c r="L601" s="58" t="s">
        <v>404</v>
      </c>
      <c r="M601" s="58" t="str">
        <f>LEFT(Table1[[#This Row],[Tegevusala kood]],2)</f>
        <v>01</v>
      </c>
      <c r="N601" s="41" t="str">
        <f>VLOOKUP(Table1[[#This Row],[Tegevusala kood]],Table4[[Tegevusala kood]:[Tegevusala alanimetus]],2,FALSE)</f>
        <v>Valla- ja linnavalitsus</v>
      </c>
      <c r="O601" s="41" t="s">
        <v>1</v>
      </c>
      <c r="P601" s="41" t="s">
        <v>1</v>
      </c>
      <c r="Q601" s="41" t="str">
        <f>VLOOKUP(Table1[[#This Row],[Eelarvekonto]],Table5[[Konto]:[Kontode alanimetus]],5,FALSE)</f>
        <v>Majandamiskulud</v>
      </c>
      <c r="R601" s="42" t="str">
        <f>VLOOKUP(Table1[[#This Row],[Tegevusala kood]],Table4[[Tegevusala kood]:[Tegevusala alanimetus]],4,FALSE)</f>
        <v>Valla- ja linnavalitsus</v>
      </c>
      <c r="S601" s="53"/>
      <c r="T601" s="53"/>
      <c r="U601" s="53">
        <f>Table1[[#This Row],[Summa]]+Table1[[#This Row],[I Muudatus]]+Table1[[#This Row],[II Muudatus]]</f>
        <v>550</v>
      </c>
    </row>
    <row r="602" spans="1:21" ht="14.25" hidden="1" customHeight="1" x14ac:dyDescent="0.25">
      <c r="A602" s="41" t="s">
        <v>1127</v>
      </c>
      <c r="B602" s="41">
        <v>300</v>
      </c>
      <c r="C602" s="52">
        <v>5511</v>
      </c>
      <c r="D602" s="52" t="str">
        <f>LEFT(Table1[[#This Row],[Eelarvekonto]],2)</f>
        <v>55</v>
      </c>
      <c r="E602" s="41" t="str">
        <f>VLOOKUP(Table1[[#This Row],[Eelarvekonto]],Table5[[Konto]:[Konto nimetus]],2,FALSE)</f>
        <v>Kinnistute, hoonete ja ruumide majandamiskulud</v>
      </c>
      <c r="F602" s="41" t="s">
        <v>139</v>
      </c>
      <c r="G602" s="41" t="s">
        <v>24</v>
      </c>
      <c r="J602" s="41" t="s">
        <v>139</v>
      </c>
      <c r="K602" s="41" t="s">
        <v>54</v>
      </c>
      <c r="L602" s="58" t="s">
        <v>404</v>
      </c>
      <c r="M602" s="58" t="str">
        <f>LEFT(Table1[[#This Row],[Tegevusala kood]],2)</f>
        <v>01</v>
      </c>
      <c r="N602" s="41" t="str">
        <f>VLOOKUP(Table1[[#This Row],[Tegevusala kood]],Table4[[Tegevusala kood]:[Tegevusala alanimetus]],2,FALSE)</f>
        <v>Valla- ja linnavalitsus</v>
      </c>
      <c r="O602" s="41" t="s">
        <v>1</v>
      </c>
      <c r="P602" s="41" t="s">
        <v>1</v>
      </c>
      <c r="Q602" s="41" t="str">
        <f>VLOOKUP(Table1[[#This Row],[Eelarvekonto]],Table5[[Konto]:[Kontode alanimetus]],5,FALSE)</f>
        <v>Majandamiskulud</v>
      </c>
      <c r="R602" s="42" t="str">
        <f>VLOOKUP(Table1[[#This Row],[Tegevusala kood]],Table4[[Tegevusala kood]:[Tegevusala alanimetus]],4,FALSE)</f>
        <v>Valla- ja linnavalitsus</v>
      </c>
      <c r="S602" s="53"/>
      <c r="T602" s="53"/>
      <c r="U602" s="53">
        <f>Table1[[#This Row],[Summa]]+Table1[[#This Row],[I Muudatus]]+Table1[[#This Row],[II Muudatus]]</f>
        <v>300</v>
      </c>
    </row>
    <row r="603" spans="1:21" ht="14.25" hidden="1" customHeight="1" x14ac:dyDescent="0.25">
      <c r="A603" s="41" t="s">
        <v>1128</v>
      </c>
      <c r="B603" s="41">
        <v>10800</v>
      </c>
      <c r="C603" s="52">
        <v>5511</v>
      </c>
      <c r="D603" s="52" t="str">
        <f>LEFT(Table1[[#This Row],[Eelarvekonto]],2)</f>
        <v>55</v>
      </c>
      <c r="E603" s="41" t="str">
        <f>VLOOKUP(Table1[[#This Row],[Eelarvekonto]],Table5[[Konto]:[Konto nimetus]],2,FALSE)</f>
        <v>Kinnistute, hoonete ja ruumide majandamiskulud</v>
      </c>
      <c r="F603" s="41" t="s">
        <v>139</v>
      </c>
      <c r="G603" s="41" t="s">
        <v>24</v>
      </c>
      <c r="J603" s="41" t="s">
        <v>139</v>
      </c>
      <c r="K603" s="41" t="s">
        <v>54</v>
      </c>
      <c r="L603" s="58" t="s">
        <v>404</v>
      </c>
      <c r="M603" s="58" t="str">
        <f>LEFT(Table1[[#This Row],[Tegevusala kood]],2)</f>
        <v>01</v>
      </c>
      <c r="N603" s="41" t="str">
        <f>VLOOKUP(Table1[[#This Row],[Tegevusala kood]],Table4[[Tegevusala kood]:[Tegevusala alanimetus]],2,FALSE)</f>
        <v>Valla- ja linnavalitsus</v>
      </c>
      <c r="O603" s="41" t="s">
        <v>1</v>
      </c>
      <c r="P603" s="41" t="s">
        <v>1</v>
      </c>
      <c r="Q603" s="41" t="str">
        <f>VLOOKUP(Table1[[#This Row],[Eelarvekonto]],Table5[[Konto]:[Kontode alanimetus]],5,FALSE)</f>
        <v>Majandamiskulud</v>
      </c>
      <c r="R603" s="42" t="str">
        <f>VLOOKUP(Table1[[#This Row],[Tegevusala kood]],Table4[[Tegevusala kood]:[Tegevusala alanimetus]],4,FALSE)</f>
        <v>Valla- ja linnavalitsus</v>
      </c>
      <c r="S603" s="53"/>
      <c r="T603" s="53"/>
      <c r="U603" s="53">
        <f>Table1[[#This Row],[Summa]]+Table1[[#This Row],[I Muudatus]]+Table1[[#This Row],[II Muudatus]]</f>
        <v>10800</v>
      </c>
    </row>
    <row r="604" spans="1:21" ht="14.25" hidden="1" customHeight="1" x14ac:dyDescent="0.25">
      <c r="A604" s="41" t="s">
        <v>1130</v>
      </c>
      <c r="B604" s="41">
        <v>221.64</v>
      </c>
      <c r="C604" s="52">
        <v>5511</v>
      </c>
      <c r="D604" s="52" t="str">
        <f>LEFT(Table1[[#This Row],[Eelarvekonto]],2)</f>
        <v>55</v>
      </c>
      <c r="E604" s="41" t="str">
        <f>VLOOKUP(Table1[[#This Row],[Eelarvekonto]],Table5[[Konto]:[Konto nimetus]],2,FALSE)</f>
        <v>Kinnistute, hoonete ja ruumide majandamiskulud</v>
      </c>
      <c r="F604" s="41" t="s">
        <v>139</v>
      </c>
      <c r="G604" s="41" t="s">
        <v>24</v>
      </c>
      <c r="J604" s="41" t="s">
        <v>139</v>
      </c>
      <c r="K604" s="41" t="s">
        <v>54</v>
      </c>
      <c r="L604" s="58" t="s">
        <v>404</v>
      </c>
      <c r="M604" s="58" t="str">
        <f>LEFT(Table1[[#This Row],[Tegevusala kood]],2)</f>
        <v>01</v>
      </c>
      <c r="N604" s="41" t="str">
        <f>VLOOKUP(Table1[[#This Row],[Tegevusala kood]],Table4[[Tegevusala kood]:[Tegevusala alanimetus]],2,FALSE)</f>
        <v>Valla- ja linnavalitsus</v>
      </c>
      <c r="O604" s="41" t="s">
        <v>1</v>
      </c>
      <c r="P604" s="41" t="s">
        <v>1</v>
      </c>
      <c r="Q604" s="41" t="str">
        <f>VLOOKUP(Table1[[#This Row],[Eelarvekonto]],Table5[[Konto]:[Kontode alanimetus]],5,FALSE)</f>
        <v>Majandamiskulud</v>
      </c>
      <c r="R604" s="42" t="str">
        <f>VLOOKUP(Table1[[#This Row],[Tegevusala kood]],Table4[[Tegevusala kood]:[Tegevusala alanimetus]],4,FALSE)</f>
        <v>Valla- ja linnavalitsus</v>
      </c>
      <c r="S604" s="53"/>
      <c r="T604" s="53"/>
      <c r="U604" s="53">
        <f>Table1[[#This Row],[Summa]]+Table1[[#This Row],[I Muudatus]]+Table1[[#This Row],[II Muudatus]]</f>
        <v>221.64</v>
      </c>
    </row>
    <row r="605" spans="1:21" ht="14.25" hidden="1" customHeight="1" x14ac:dyDescent="0.25">
      <c r="A605" s="41" t="s">
        <v>1120</v>
      </c>
      <c r="B605" s="41">
        <v>480</v>
      </c>
      <c r="C605" s="52">
        <v>5513</v>
      </c>
      <c r="D605" s="52" t="str">
        <f>LEFT(Table1[[#This Row],[Eelarvekonto]],2)</f>
        <v>55</v>
      </c>
      <c r="E605" s="41" t="str">
        <f>VLOOKUP(Table1[[#This Row],[Eelarvekonto]],Table5[[Konto]:[Konto nimetus]],2,FALSE)</f>
        <v>Sõidukite ülalpidamise kulud</v>
      </c>
      <c r="F605" s="41" t="s">
        <v>139</v>
      </c>
      <c r="G605" s="41" t="s">
        <v>24</v>
      </c>
      <c r="J605" s="41" t="s">
        <v>139</v>
      </c>
      <c r="K605" s="41" t="s">
        <v>54</v>
      </c>
      <c r="L605" s="58" t="s">
        <v>404</v>
      </c>
      <c r="M605" s="58" t="str">
        <f>LEFT(Table1[[#This Row],[Tegevusala kood]],2)</f>
        <v>01</v>
      </c>
      <c r="N605" s="41" t="str">
        <f>VLOOKUP(Table1[[#This Row],[Tegevusala kood]],Table4[[Tegevusala kood]:[Tegevusala alanimetus]],2,FALSE)</f>
        <v>Valla- ja linnavalitsus</v>
      </c>
      <c r="O605" s="41" t="s">
        <v>1</v>
      </c>
      <c r="P605" s="41" t="s">
        <v>1</v>
      </c>
      <c r="Q605" s="41" t="str">
        <f>VLOOKUP(Table1[[#This Row],[Eelarvekonto]],Table5[[Konto]:[Kontode alanimetus]],5,FALSE)</f>
        <v>Majandamiskulud</v>
      </c>
      <c r="R605" s="42" t="str">
        <f>VLOOKUP(Table1[[#This Row],[Tegevusala kood]],Table4[[Tegevusala kood]:[Tegevusala alanimetus]],4,FALSE)</f>
        <v>Valla- ja linnavalitsus</v>
      </c>
      <c r="S605" s="53"/>
      <c r="T605" s="53"/>
      <c r="U605" s="53">
        <f>Table1[[#This Row],[Summa]]+Table1[[#This Row],[I Muudatus]]+Table1[[#This Row],[II Muudatus]]</f>
        <v>480</v>
      </c>
    </row>
    <row r="606" spans="1:21" ht="14.25" hidden="1" customHeight="1" x14ac:dyDescent="0.25">
      <c r="A606" s="41" t="s">
        <v>1124</v>
      </c>
      <c r="B606" s="41">
        <v>3400</v>
      </c>
      <c r="C606" s="52">
        <v>5513</v>
      </c>
      <c r="D606" s="52" t="str">
        <f>LEFT(Table1[[#This Row],[Eelarvekonto]],2)</f>
        <v>55</v>
      </c>
      <c r="E606" s="41" t="str">
        <f>VLOOKUP(Table1[[#This Row],[Eelarvekonto]],Table5[[Konto]:[Konto nimetus]],2,FALSE)</f>
        <v>Sõidukite ülalpidamise kulud</v>
      </c>
      <c r="F606" s="41" t="s">
        <v>139</v>
      </c>
      <c r="G606" s="41" t="s">
        <v>24</v>
      </c>
      <c r="J606" s="41" t="s">
        <v>139</v>
      </c>
      <c r="K606" s="41" t="s">
        <v>54</v>
      </c>
      <c r="L606" s="58" t="s">
        <v>404</v>
      </c>
      <c r="M606" s="58" t="str">
        <f>LEFT(Table1[[#This Row],[Tegevusala kood]],2)</f>
        <v>01</v>
      </c>
      <c r="N606" s="41" t="str">
        <f>VLOOKUP(Table1[[#This Row],[Tegevusala kood]],Table4[[Tegevusala kood]:[Tegevusala alanimetus]],2,FALSE)</f>
        <v>Valla- ja linnavalitsus</v>
      </c>
      <c r="O606" s="41" t="s">
        <v>1</v>
      </c>
      <c r="P606" s="41" t="s">
        <v>1</v>
      </c>
      <c r="Q606" s="41" t="str">
        <f>VLOOKUP(Table1[[#This Row],[Eelarvekonto]],Table5[[Konto]:[Kontode alanimetus]],5,FALSE)</f>
        <v>Majandamiskulud</v>
      </c>
      <c r="R606" s="42" t="str">
        <f>VLOOKUP(Table1[[#This Row],[Tegevusala kood]],Table4[[Tegevusala kood]:[Tegevusala alanimetus]],4,FALSE)</f>
        <v>Valla- ja linnavalitsus</v>
      </c>
      <c r="S606" s="53"/>
      <c r="T606" s="53"/>
      <c r="U606" s="53">
        <f>Table1[[#This Row],[Summa]]+Table1[[#This Row],[I Muudatus]]+Table1[[#This Row],[II Muudatus]]</f>
        <v>3400</v>
      </c>
    </row>
    <row r="607" spans="1:21" ht="14.25" hidden="1" customHeight="1" x14ac:dyDescent="0.25">
      <c r="A607" s="41" t="s">
        <v>683</v>
      </c>
      <c r="B607" s="41">
        <v>2880</v>
      </c>
      <c r="C607" s="52">
        <v>5514</v>
      </c>
      <c r="D607" s="52" t="str">
        <f>LEFT(Table1[[#This Row],[Eelarvekonto]],2)</f>
        <v>55</v>
      </c>
      <c r="E607" s="41" t="str">
        <f>VLOOKUP(Table1[[#This Row],[Eelarvekonto]],Table5[[Konto]:[Konto nimetus]],2,FALSE)</f>
        <v>Info- ja kommunikatsioonitehnoloogia kulud</v>
      </c>
      <c r="F607" s="41" t="s">
        <v>139</v>
      </c>
      <c r="G607" s="41" t="s">
        <v>24</v>
      </c>
      <c r="J607" s="41" t="s">
        <v>406</v>
      </c>
      <c r="K607" s="41" t="s">
        <v>405</v>
      </c>
      <c r="L607" s="58" t="s">
        <v>404</v>
      </c>
      <c r="M607" s="58" t="str">
        <f>LEFT(Table1[[#This Row],[Tegevusala kood]],2)</f>
        <v>01</v>
      </c>
      <c r="N607" s="41" t="str">
        <f>VLOOKUP(Table1[[#This Row],[Tegevusala kood]],Table4[[Tegevusala kood]:[Tegevusala alanimetus]],2,FALSE)</f>
        <v>Valla- ja linnavalitsus</v>
      </c>
      <c r="O607" s="41" t="s">
        <v>1</v>
      </c>
      <c r="P607" s="41" t="s">
        <v>1</v>
      </c>
      <c r="Q607" s="41" t="str">
        <f>VLOOKUP(Table1[[#This Row],[Eelarvekonto]],Table5[[Konto]:[Kontode alanimetus]],5,FALSE)</f>
        <v>Majandamiskulud</v>
      </c>
      <c r="R607" s="42" t="str">
        <f>VLOOKUP(Table1[[#This Row],[Tegevusala kood]],Table4[[Tegevusala kood]:[Tegevusala alanimetus]],4,FALSE)</f>
        <v>Valla- ja linnavalitsus</v>
      </c>
      <c r="S607" s="53"/>
      <c r="T607" s="53"/>
      <c r="U607" s="53">
        <f>Table1[[#This Row],[Summa]]+Table1[[#This Row],[I Muudatus]]+Table1[[#This Row],[II Muudatus]]</f>
        <v>2880</v>
      </c>
    </row>
    <row r="608" spans="1:21" ht="14.25" hidden="1" customHeight="1" x14ac:dyDescent="0.25">
      <c r="A608" s="41" t="s">
        <v>676</v>
      </c>
      <c r="B608" s="41">
        <v>6451.2</v>
      </c>
      <c r="C608" s="52">
        <v>5514</v>
      </c>
      <c r="D608" s="68" t="str">
        <f>LEFT(Table1[[#This Row],[Eelarvekonto]],2)</f>
        <v>55</v>
      </c>
      <c r="E608" s="41" t="str">
        <f>VLOOKUP(Table1[[#This Row],[Eelarvekonto]],Table5[[Konto]:[Konto nimetus]],2,FALSE)</f>
        <v>Info- ja kommunikatsioonitehnoloogia kulud</v>
      </c>
      <c r="F608" s="41" t="s">
        <v>139</v>
      </c>
      <c r="G608" s="41" t="s">
        <v>24</v>
      </c>
      <c r="J608" s="41" t="s">
        <v>406</v>
      </c>
      <c r="K608" s="41" t="s">
        <v>405</v>
      </c>
      <c r="L608" s="58" t="s">
        <v>404</v>
      </c>
      <c r="M608" s="58" t="str">
        <f>LEFT(Table1[[#This Row],[Tegevusala kood]],2)</f>
        <v>01</v>
      </c>
      <c r="N608" s="41" t="str">
        <f>VLOOKUP(Table1[[#This Row],[Tegevusala kood]],Table4[[Tegevusala kood]:[Tegevusala alanimetus]],2,FALSE)</f>
        <v>Valla- ja linnavalitsus</v>
      </c>
      <c r="O608" s="41" t="s">
        <v>1</v>
      </c>
      <c r="P608" s="41" t="s">
        <v>1</v>
      </c>
      <c r="Q608" s="41" t="str">
        <f>VLOOKUP(Table1[[#This Row],[Eelarvekonto]],Table5[[Konto]:[Kontode alanimetus]],5,FALSE)</f>
        <v>Majandamiskulud</v>
      </c>
      <c r="R608" s="42" t="str">
        <f>VLOOKUP(Table1[[#This Row],[Tegevusala kood]],Table4[[Tegevusala kood]:[Tegevusala alanimetus]],4,FALSE)</f>
        <v>Valla- ja linnavalitsus</v>
      </c>
      <c r="S608" s="53"/>
      <c r="T608" s="53"/>
      <c r="U608" s="53">
        <f>Table1[[#This Row],[Summa]]+Table1[[#This Row],[I Muudatus]]+Table1[[#This Row],[II Muudatus]]</f>
        <v>6451.2</v>
      </c>
    </row>
    <row r="609" spans="1:21" ht="14.25" hidden="1" customHeight="1" x14ac:dyDescent="0.25">
      <c r="A609" s="41" t="s">
        <v>1103</v>
      </c>
      <c r="B609" s="41">
        <v>2300</v>
      </c>
      <c r="C609" s="52">
        <v>5500</v>
      </c>
      <c r="D609" s="52" t="str">
        <f>LEFT(Table1[[#This Row],[Eelarvekonto]],2)</f>
        <v>55</v>
      </c>
      <c r="E609" s="41" t="str">
        <f>VLOOKUP(Table1[[#This Row],[Eelarvekonto]],Table5[[Konto]:[Konto nimetus]],2,FALSE)</f>
        <v>Administreerimiskulud</v>
      </c>
      <c r="F609" s="41" t="s">
        <v>139</v>
      </c>
      <c r="G609" s="41" t="s">
        <v>24</v>
      </c>
      <c r="J609" s="41" t="s">
        <v>139</v>
      </c>
      <c r="K609" s="41" t="s">
        <v>54</v>
      </c>
      <c r="L609" s="58" t="s">
        <v>404</v>
      </c>
      <c r="M609" s="58" t="str">
        <f>LEFT(Table1[[#This Row],[Tegevusala kood]],2)</f>
        <v>01</v>
      </c>
      <c r="N609" s="41" t="str">
        <f>VLOOKUP(Table1[[#This Row],[Tegevusala kood]],Table4[[Tegevusala kood]:[Tegevusala alanimetus]],2,FALSE)</f>
        <v>Valla- ja linnavalitsus</v>
      </c>
      <c r="O609" s="41" t="s">
        <v>1</v>
      </c>
      <c r="P609" s="41" t="s">
        <v>1</v>
      </c>
      <c r="Q609" s="41" t="str">
        <f>VLOOKUP(Table1[[#This Row],[Eelarvekonto]],Table5[[Konto]:[Kontode alanimetus]],5,FALSE)</f>
        <v>Majandamiskulud</v>
      </c>
      <c r="R609" s="42" t="str">
        <f>VLOOKUP(Table1[[#This Row],[Tegevusala kood]],Table4[[Tegevusala kood]:[Tegevusala alanimetus]],4,FALSE)</f>
        <v>Valla- ja linnavalitsus</v>
      </c>
      <c r="S609" s="53"/>
      <c r="T609" s="53"/>
      <c r="U609" s="53">
        <f>Table1[[#This Row],[Summa]]+Table1[[#This Row],[I Muudatus]]+Table1[[#This Row],[II Muudatus]]</f>
        <v>2300</v>
      </c>
    </row>
    <row r="610" spans="1:21" s="68" customFormat="1" ht="14.25" hidden="1" customHeight="1" x14ac:dyDescent="0.25">
      <c r="A610" s="42" t="s">
        <v>1553</v>
      </c>
      <c r="B610" s="42">
        <v>800</v>
      </c>
      <c r="C610" s="42">
        <v>5514</v>
      </c>
      <c r="D610" s="53" t="str">
        <f>LEFT(Table1[[#This Row],[Eelarvekonto]],2)</f>
        <v>55</v>
      </c>
      <c r="E610" s="53" t="str">
        <f>VLOOKUP(Table1[[#This Row],[Eelarvekonto]],Table5[[Konto]:[Konto nimetus]],2,FALSE)</f>
        <v>Info- ja kommunikatsioonitehnoloogia kulud</v>
      </c>
      <c r="F610" s="68" t="s">
        <v>139</v>
      </c>
      <c r="G610" s="68" t="s">
        <v>24</v>
      </c>
      <c r="J610" s="68" t="s">
        <v>139</v>
      </c>
      <c r="K610" s="68" t="s">
        <v>54</v>
      </c>
      <c r="L610" s="58" t="s">
        <v>404</v>
      </c>
      <c r="M610" s="112" t="str">
        <f>LEFT(Table1[[#This Row],[Tegevusala kood]],2)</f>
        <v>01</v>
      </c>
      <c r="N610" s="53" t="str">
        <f>VLOOKUP(Table1[[#This Row],[Tegevusala kood]],Table4[[Tegevusala kood]:[Tegevusala alanimetus]],2,FALSE)</f>
        <v>Valla- ja linnavalitsus</v>
      </c>
      <c r="O610" s="42"/>
      <c r="P610" s="42"/>
      <c r="Q610" s="53" t="str">
        <f>VLOOKUP(Table1[[#This Row],[Eelarvekonto]],Table5[[Konto]:[Kontode alanimetus]],5,FALSE)</f>
        <v>Majandamiskulud</v>
      </c>
      <c r="R610" s="53" t="str">
        <f>VLOOKUP(Table1[[#This Row],[Tegevusala kood]],Table4[[Tegevusala kood]:[Tegevusala alanimetus]],4,FALSE)</f>
        <v>Valla- ja linnavalitsus</v>
      </c>
      <c r="S610" s="53"/>
      <c r="T610" s="53"/>
      <c r="U610" s="53">
        <f>Table1[[#This Row],[Summa]]+Table1[[#This Row],[I Muudatus]]+Table1[[#This Row],[II Muudatus]]</f>
        <v>800</v>
      </c>
    </row>
    <row r="611" spans="1:21" ht="14.25" hidden="1" customHeight="1" x14ac:dyDescent="0.25">
      <c r="A611" s="41" t="s">
        <v>1106</v>
      </c>
      <c r="B611" s="41">
        <v>6960</v>
      </c>
      <c r="C611" s="52">
        <v>5514</v>
      </c>
      <c r="D611" s="52" t="str">
        <f>LEFT(Table1[[#This Row],[Eelarvekonto]],2)</f>
        <v>55</v>
      </c>
      <c r="E611" s="41" t="str">
        <f>VLOOKUP(Table1[[#This Row],[Eelarvekonto]],Table5[[Konto]:[Konto nimetus]],2,FALSE)</f>
        <v>Info- ja kommunikatsioonitehnoloogia kulud</v>
      </c>
      <c r="F611" s="41" t="s">
        <v>139</v>
      </c>
      <c r="G611" s="41" t="s">
        <v>24</v>
      </c>
      <c r="J611" s="41" t="s">
        <v>139</v>
      </c>
      <c r="K611" s="41" t="s">
        <v>54</v>
      </c>
      <c r="L611" s="58" t="s">
        <v>404</v>
      </c>
      <c r="M611" s="58" t="str">
        <f>LEFT(Table1[[#This Row],[Tegevusala kood]],2)</f>
        <v>01</v>
      </c>
      <c r="N611" s="41" t="str">
        <f>VLOOKUP(Table1[[#This Row],[Tegevusala kood]],Table4[[Tegevusala kood]:[Tegevusala alanimetus]],2,FALSE)</f>
        <v>Valla- ja linnavalitsus</v>
      </c>
      <c r="O611" s="41" t="s">
        <v>1</v>
      </c>
      <c r="P611" s="41" t="s">
        <v>1</v>
      </c>
      <c r="Q611" s="41" t="str">
        <f>VLOOKUP(Table1[[#This Row],[Eelarvekonto]],Table5[[Konto]:[Kontode alanimetus]],5,FALSE)</f>
        <v>Majandamiskulud</v>
      </c>
      <c r="R611" s="42" t="str">
        <f>VLOOKUP(Table1[[#This Row],[Tegevusala kood]],Table4[[Tegevusala kood]:[Tegevusala alanimetus]],4,FALSE)</f>
        <v>Valla- ja linnavalitsus</v>
      </c>
      <c r="S611" s="53"/>
      <c r="T611" s="53"/>
      <c r="U611" s="53">
        <f>Table1[[#This Row],[Summa]]+Table1[[#This Row],[I Muudatus]]+Table1[[#This Row],[II Muudatus]]</f>
        <v>6960</v>
      </c>
    </row>
    <row r="612" spans="1:21" ht="14.25" hidden="1" customHeight="1" x14ac:dyDescent="0.25">
      <c r="A612" s="41" t="s">
        <v>1122</v>
      </c>
      <c r="B612" s="41">
        <v>3700</v>
      </c>
      <c r="C612" s="52">
        <v>5514</v>
      </c>
      <c r="D612" s="52" t="str">
        <f>LEFT(Table1[[#This Row],[Eelarvekonto]],2)</f>
        <v>55</v>
      </c>
      <c r="E612" s="41" t="str">
        <f>VLOOKUP(Table1[[#This Row],[Eelarvekonto]],Table5[[Konto]:[Konto nimetus]],2,FALSE)</f>
        <v>Info- ja kommunikatsioonitehnoloogia kulud</v>
      </c>
      <c r="F612" s="41" t="s">
        <v>139</v>
      </c>
      <c r="G612" s="41" t="s">
        <v>24</v>
      </c>
      <c r="J612" s="41" t="s">
        <v>139</v>
      </c>
      <c r="K612" s="41" t="s">
        <v>54</v>
      </c>
      <c r="L612" s="58" t="s">
        <v>404</v>
      </c>
      <c r="M612" s="58" t="str">
        <f>LEFT(Table1[[#This Row],[Tegevusala kood]],2)</f>
        <v>01</v>
      </c>
      <c r="N612" s="41" t="str">
        <f>VLOOKUP(Table1[[#This Row],[Tegevusala kood]],Table4[[Tegevusala kood]:[Tegevusala alanimetus]],2,FALSE)</f>
        <v>Valla- ja linnavalitsus</v>
      </c>
      <c r="O612" s="41" t="s">
        <v>1</v>
      </c>
      <c r="P612" s="41" t="s">
        <v>1</v>
      </c>
      <c r="Q612" s="41" t="str">
        <f>VLOOKUP(Table1[[#This Row],[Eelarvekonto]],Table5[[Konto]:[Kontode alanimetus]],5,FALSE)</f>
        <v>Majandamiskulud</v>
      </c>
      <c r="R612" s="42" t="str">
        <f>VLOOKUP(Table1[[#This Row],[Tegevusala kood]],Table4[[Tegevusala kood]:[Tegevusala alanimetus]],4,FALSE)</f>
        <v>Valla- ja linnavalitsus</v>
      </c>
      <c r="S612" s="53"/>
      <c r="T612" s="53"/>
      <c r="U612" s="53">
        <f>Table1[[#This Row],[Summa]]+Table1[[#This Row],[I Muudatus]]+Table1[[#This Row],[II Muudatus]]</f>
        <v>3700</v>
      </c>
    </row>
    <row r="613" spans="1:21" ht="14.25" hidden="1" customHeight="1" x14ac:dyDescent="0.25">
      <c r="A613" s="41" t="s">
        <v>1445</v>
      </c>
      <c r="B613" s="41">
        <v>720</v>
      </c>
      <c r="C613" s="52">
        <v>5515</v>
      </c>
      <c r="D613" s="52" t="str">
        <f>LEFT(Table1[[#This Row],[Eelarvekonto]],2)</f>
        <v>55</v>
      </c>
      <c r="E613" s="41" t="str">
        <f>VLOOKUP(Table1[[#This Row],[Eelarvekonto]],Table5[[Konto]:[Konto nimetus]],2,FALSE)</f>
        <v>Inventari majandamiskulud</v>
      </c>
      <c r="F613" s="41" t="s">
        <v>139</v>
      </c>
      <c r="G613" s="41" t="s">
        <v>24</v>
      </c>
      <c r="J613" s="41" t="s">
        <v>139</v>
      </c>
      <c r="K613" s="41" t="s">
        <v>54</v>
      </c>
      <c r="L613" s="58" t="s">
        <v>404</v>
      </c>
      <c r="M613" s="58" t="str">
        <f>LEFT(Table1[[#This Row],[Tegevusala kood]],2)</f>
        <v>01</v>
      </c>
      <c r="N613" s="41" t="str">
        <f>VLOOKUP(Table1[[#This Row],[Tegevusala kood]],Table4[[Tegevusala kood]:[Tegevusala alanimetus]],2,FALSE)</f>
        <v>Valla- ja linnavalitsus</v>
      </c>
      <c r="O613" s="41" t="s">
        <v>1</v>
      </c>
      <c r="P613" s="41" t="s">
        <v>1</v>
      </c>
      <c r="Q613" s="41" t="str">
        <f>VLOOKUP(Table1[[#This Row],[Eelarvekonto]],Table5[[Konto]:[Kontode alanimetus]],5,FALSE)</f>
        <v>Majandamiskulud</v>
      </c>
      <c r="R613" s="42" t="str">
        <f>VLOOKUP(Table1[[#This Row],[Tegevusala kood]],Table4[[Tegevusala kood]:[Tegevusala alanimetus]],4,FALSE)</f>
        <v>Valla- ja linnavalitsus</v>
      </c>
      <c r="S613" s="53"/>
      <c r="T613" s="53"/>
      <c r="U613" s="53">
        <f>Table1[[#This Row],[Summa]]+Table1[[#This Row],[I Muudatus]]+Table1[[#This Row],[II Muudatus]]</f>
        <v>720</v>
      </c>
    </row>
    <row r="614" spans="1:21" ht="14.25" hidden="1" customHeight="1" x14ac:dyDescent="0.25">
      <c r="A614" s="41" t="s">
        <v>1099</v>
      </c>
      <c r="B614" s="41">
        <v>300</v>
      </c>
      <c r="C614" s="52">
        <v>5522</v>
      </c>
      <c r="D614" s="52" t="str">
        <f>LEFT(Table1[[#This Row],[Eelarvekonto]],2)</f>
        <v>55</v>
      </c>
      <c r="E614" s="41" t="str">
        <f>VLOOKUP(Table1[[#This Row],[Eelarvekonto]],Table5[[Konto]:[Konto nimetus]],2,FALSE)</f>
        <v>Meditsiinikulud ja hügieenikulud</v>
      </c>
      <c r="F614" s="41" t="s">
        <v>139</v>
      </c>
      <c r="G614" s="41" t="s">
        <v>24</v>
      </c>
      <c r="J614" s="41" t="s">
        <v>139</v>
      </c>
      <c r="K614" s="41" t="s">
        <v>54</v>
      </c>
      <c r="L614" s="58" t="s">
        <v>404</v>
      </c>
      <c r="M614" s="58" t="str">
        <f>LEFT(Table1[[#This Row],[Tegevusala kood]],2)</f>
        <v>01</v>
      </c>
      <c r="N614" s="41" t="str">
        <f>VLOOKUP(Table1[[#This Row],[Tegevusala kood]],Table4[[Tegevusala kood]:[Tegevusala alanimetus]],2,FALSE)</f>
        <v>Valla- ja linnavalitsus</v>
      </c>
      <c r="O614" s="41" t="s">
        <v>1</v>
      </c>
      <c r="P614" s="41" t="s">
        <v>1</v>
      </c>
      <c r="Q614" s="41" t="str">
        <f>VLOOKUP(Table1[[#This Row],[Eelarvekonto]],Table5[[Konto]:[Kontode alanimetus]],5,FALSE)</f>
        <v>Majandamiskulud</v>
      </c>
      <c r="R614" s="42" t="str">
        <f>VLOOKUP(Table1[[#This Row],[Tegevusala kood]],Table4[[Tegevusala kood]:[Tegevusala alanimetus]],4,FALSE)</f>
        <v>Valla- ja linnavalitsus</v>
      </c>
      <c r="S614" s="53"/>
      <c r="T614" s="53"/>
      <c r="U614" s="53">
        <f>Table1[[#This Row],[Summa]]+Table1[[#This Row],[I Muudatus]]+Table1[[#This Row],[II Muudatus]]</f>
        <v>300</v>
      </c>
    </row>
    <row r="615" spans="1:21" ht="14.25" hidden="1" customHeight="1" x14ac:dyDescent="0.25">
      <c r="A615" s="41" t="s">
        <v>1111</v>
      </c>
      <c r="B615" s="41">
        <v>500</v>
      </c>
      <c r="C615" s="52">
        <v>5522</v>
      </c>
      <c r="D615" s="52" t="str">
        <f>LEFT(Table1[[#This Row],[Eelarvekonto]],2)</f>
        <v>55</v>
      </c>
      <c r="E615" s="41" t="str">
        <f>VLOOKUP(Table1[[#This Row],[Eelarvekonto]],Table5[[Konto]:[Konto nimetus]],2,FALSE)</f>
        <v>Meditsiinikulud ja hügieenikulud</v>
      </c>
      <c r="F615" s="41" t="s">
        <v>139</v>
      </c>
      <c r="G615" s="41" t="s">
        <v>24</v>
      </c>
      <c r="J615" s="41" t="s">
        <v>139</v>
      </c>
      <c r="K615" s="41" t="s">
        <v>54</v>
      </c>
      <c r="L615" s="58" t="s">
        <v>404</v>
      </c>
      <c r="M615" s="58" t="str">
        <f>LEFT(Table1[[#This Row],[Tegevusala kood]],2)</f>
        <v>01</v>
      </c>
      <c r="N615" s="41" t="str">
        <f>VLOOKUP(Table1[[#This Row],[Tegevusala kood]],Table4[[Tegevusala kood]:[Tegevusala alanimetus]],2,FALSE)</f>
        <v>Valla- ja linnavalitsus</v>
      </c>
      <c r="O615" s="41" t="s">
        <v>1</v>
      </c>
      <c r="P615" s="41" t="s">
        <v>1</v>
      </c>
      <c r="Q615" s="41" t="str">
        <f>VLOOKUP(Table1[[#This Row],[Eelarvekonto]],Table5[[Konto]:[Kontode alanimetus]],5,FALSE)</f>
        <v>Majandamiskulud</v>
      </c>
      <c r="R615" s="42" t="str">
        <f>VLOOKUP(Table1[[#This Row],[Tegevusala kood]],Table4[[Tegevusala kood]:[Tegevusala alanimetus]],4,FALSE)</f>
        <v>Valla- ja linnavalitsus</v>
      </c>
      <c r="S615" s="53"/>
      <c r="T615" s="53"/>
      <c r="U615" s="53">
        <f>Table1[[#This Row],[Summa]]+Table1[[#This Row],[I Muudatus]]+Table1[[#This Row],[II Muudatus]]</f>
        <v>500</v>
      </c>
    </row>
    <row r="616" spans="1:21" ht="14.25" hidden="1" customHeight="1" x14ac:dyDescent="0.25">
      <c r="A616" s="41" t="s">
        <v>1117</v>
      </c>
      <c r="B616" s="41">
        <v>440</v>
      </c>
      <c r="C616" s="52">
        <v>5522</v>
      </c>
      <c r="D616" s="52" t="str">
        <f>LEFT(Table1[[#This Row],[Eelarvekonto]],2)</f>
        <v>55</v>
      </c>
      <c r="E616" s="41" t="str">
        <f>VLOOKUP(Table1[[#This Row],[Eelarvekonto]],Table5[[Konto]:[Konto nimetus]],2,FALSE)</f>
        <v>Meditsiinikulud ja hügieenikulud</v>
      </c>
      <c r="F616" s="41" t="s">
        <v>139</v>
      </c>
      <c r="G616" s="41" t="s">
        <v>24</v>
      </c>
      <c r="J616" s="41" t="s">
        <v>139</v>
      </c>
      <c r="K616" s="41" t="s">
        <v>54</v>
      </c>
      <c r="L616" s="58" t="s">
        <v>404</v>
      </c>
      <c r="M616" s="58" t="str">
        <f>LEFT(Table1[[#This Row],[Tegevusala kood]],2)</f>
        <v>01</v>
      </c>
      <c r="N616" s="41" t="str">
        <f>VLOOKUP(Table1[[#This Row],[Tegevusala kood]],Table4[[Tegevusala kood]:[Tegevusala alanimetus]],2,FALSE)</f>
        <v>Valla- ja linnavalitsus</v>
      </c>
      <c r="O616" s="41" t="s">
        <v>1</v>
      </c>
      <c r="P616" s="41" t="s">
        <v>1</v>
      </c>
      <c r="Q616" s="41" t="str">
        <f>VLOOKUP(Table1[[#This Row],[Eelarvekonto]],Table5[[Konto]:[Kontode alanimetus]],5,FALSE)</f>
        <v>Majandamiskulud</v>
      </c>
      <c r="R616" s="42" t="str">
        <f>VLOOKUP(Table1[[#This Row],[Tegevusala kood]],Table4[[Tegevusala kood]:[Tegevusala alanimetus]],4,FALSE)</f>
        <v>Valla- ja linnavalitsus</v>
      </c>
      <c r="S616" s="53"/>
      <c r="T616" s="53"/>
      <c r="U616" s="53">
        <f>Table1[[#This Row],[Summa]]+Table1[[#This Row],[I Muudatus]]+Table1[[#This Row],[II Muudatus]]</f>
        <v>440</v>
      </c>
    </row>
    <row r="617" spans="1:21" ht="14.25" hidden="1" customHeight="1" x14ac:dyDescent="0.25">
      <c r="A617" s="41" t="s">
        <v>1118</v>
      </c>
      <c r="B617" s="41">
        <v>1100</v>
      </c>
      <c r="C617" s="52">
        <v>5522</v>
      </c>
      <c r="D617" s="52" t="str">
        <f>LEFT(Table1[[#This Row],[Eelarvekonto]],2)</f>
        <v>55</v>
      </c>
      <c r="E617" s="41" t="str">
        <f>VLOOKUP(Table1[[#This Row],[Eelarvekonto]],Table5[[Konto]:[Konto nimetus]],2,FALSE)</f>
        <v>Meditsiinikulud ja hügieenikulud</v>
      </c>
      <c r="F617" s="41" t="s">
        <v>139</v>
      </c>
      <c r="G617" s="41" t="s">
        <v>24</v>
      </c>
      <c r="J617" s="41" t="s">
        <v>139</v>
      </c>
      <c r="K617" s="41" t="s">
        <v>54</v>
      </c>
      <c r="L617" s="58" t="s">
        <v>404</v>
      </c>
      <c r="M617" s="58" t="str">
        <f>LEFT(Table1[[#This Row],[Tegevusala kood]],2)</f>
        <v>01</v>
      </c>
      <c r="N617" s="41" t="str">
        <f>VLOOKUP(Table1[[#This Row],[Tegevusala kood]],Table4[[Tegevusala kood]:[Tegevusala alanimetus]],2,FALSE)</f>
        <v>Valla- ja linnavalitsus</v>
      </c>
      <c r="O617" s="41" t="s">
        <v>1</v>
      </c>
      <c r="P617" s="41" t="s">
        <v>1</v>
      </c>
      <c r="Q617" s="41" t="str">
        <f>VLOOKUP(Table1[[#This Row],[Eelarvekonto]],Table5[[Konto]:[Kontode alanimetus]],5,FALSE)</f>
        <v>Majandamiskulud</v>
      </c>
      <c r="R617" s="42" t="str">
        <f>VLOOKUP(Table1[[#This Row],[Tegevusala kood]],Table4[[Tegevusala kood]:[Tegevusala alanimetus]],4,FALSE)</f>
        <v>Valla- ja linnavalitsus</v>
      </c>
      <c r="S617" s="53"/>
      <c r="T617" s="53"/>
      <c r="U617" s="53">
        <f>Table1[[#This Row],[Summa]]+Table1[[#This Row],[I Muudatus]]+Table1[[#This Row],[II Muudatus]]</f>
        <v>1100</v>
      </c>
    </row>
    <row r="618" spans="1:21" ht="14.25" hidden="1" customHeight="1" x14ac:dyDescent="0.25">
      <c r="A618" s="41" t="s">
        <v>169</v>
      </c>
      <c r="B618" s="41">
        <v>6000</v>
      </c>
      <c r="C618" s="52">
        <v>5525</v>
      </c>
      <c r="D618" s="52" t="str">
        <f>LEFT(Table1[[#This Row],[Eelarvekonto]],2)</f>
        <v>55</v>
      </c>
      <c r="E618" s="41" t="str">
        <f>VLOOKUP(Table1[[#This Row],[Eelarvekonto]],Table5[[Konto]:[Konto nimetus]],2,FALSE)</f>
        <v>Kommunikatsiooni-, kultuuri- ja vaba aja sisustamise kulud</v>
      </c>
      <c r="F618" s="41" t="s">
        <v>139</v>
      </c>
      <c r="G618" s="41" t="s">
        <v>24</v>
      </c>
      <c r="J618" s="41" t="s">
        <v>139</v>
      </c>
      <c r="K618" s="41" t="s">
        <v>54</v>
      </c>
      <c r="L618" s="58" t="s">
        <v>404</v>
      </c>
      <c r="M618" s="58" t="str">
        <f>LEFT(Table1[[#This Row],[Tegevusala kood]],2)</f>
        <v>01</v>
      </c>
      <c r="N618" s="41" t="str">
        <f>VLOOKUP(Table1[[#This Row],[Tegevusala kood]],Table4[[Tegevusala kood]:[Tegevusala alanimetus]],2,FALSE)</f>
        <v>Valla- ja linnavalitsus</v>
      </c>
      <c r="O618" s="41" t="s">
        <v>1</v>
      </c>
      <c r="P618" s="41" t="s">
        <v>1</v>
      </c>
      <c r="Q618" s="41" t="str">
        <f>VLOOKUP(Table1[[#This Row],[Eelarvekonto]],Table5[[Konto]:[Kontode alanimetus]],5,FALSE)</f>
        <v>Majandamiskulud</v>
      </c>
      <c r="R618" s="42" t="str">
        <f>VLOOKUP(Table1[[#This Row],[Tegevusala kood]],Table4[[Tegevusala kood]:[Tegevusala alanimetus]],4,FALSE)</f>
        <v>Valla- ja linnavalitsus</v>
      </c>
      <c r="S618" s="53"/>
      <c r="T618" s="53"/>
      <c r="U618" s="53">
        <f>Table1[[#This Row],[Summa]]+Table1[[#This Row],[I Muudatus]]+Table1[[#This Row],[II Muudatus]]</f>
        <v>6000</v>
      </c>
    </row>
    <row r="619" spans="1:21" ht="14.25" hidden="1" customHeight="1" x14ac:dyDescent="0.25">
      <c r="A619" s="41" t="s">
        <v>188</v>
      </c>
      <c r="B619" s="41">
        <v>14400</v>
      </c>
      <c r="C619" s="52">
        <v>5540</v>
      </c>
      <c r="D619" s="52" t="str">
        <f>LEFT(Table1[[#This Row],[Eelarvekonto]],2)</f>
        <v>55</v>
      </c>
      <c r="E619" s="41" t="str">
        <f>VLOOKUP(Table1[[#This Row],[Eelarvekonto]],Table5[[Konto]:[Konto nimetus]],2,FALSE)</f>
        <v>Mitmesugused majanduskulud</v>
      </c>
      <c r="F619" s="41" t="s">
        <v>139</v>
      </c>
      <c r="G619" s="41" t="s">
        <v>24</v>
      </c>
      <c r="J619" s="41" t="s">
        <v>139</v>
      </c>
      <c r="K619" s="41" t="s">
        <v>54</v>
      </c>
      <c r="L619" s="58" t="s">
        <v>404</v>
      </c>
      <c r="M619" s="58" t="str">
        <f>LEFT(Table1[[#This Row],[Tegevusala kood]],2)</f>
        <v>01</v>
      </c>
      <c r="N619" s="41" t="str">
        <f>VLOOKUP(Table1[[#This Row],[Tegevusala kood]],Table4[[Tegevusala kood]:[Tegevusala alanimetus]],2,FALSE)</f>
        <v>Valla- ja linnavalitsus</v>
      </c>
      <c r="O619" s="41" t="s">
        <v>1</v>
      </c>
      <c r="P619" s="41" t="s">
        <v>1</v>
      </c>
      <c r="Q619" s="41" t="str">
        <f>VLOOKUP(Table1[[#This Row],[Eelarvekonto]],Table5[[Konto]:[Kontode alanimetus]],5,FALSE)</f>
        <v>Majandamiskulud</v>
      </c>
      <c r="R619" s="42" t="str">
        <f>VLOOKUP(Table1[[#This Row],[Tegevusala kood]],Table4[[Tegevusala kood]:[Tegevusala alanimetus]],4,FALSE)</f>
        <v>Valla- ja linnavalitsus</v>
      </c>
      <c r="S619" s="53"/>
      <c r="T619" s="53"/>
      <c r="U619" s="53">
        <f>Table1[[#This Row],[Summa]]+Table1[[#This Row],[I Muudatus]]+Table1[[#This Row],[II Muudatus]]</f>
        <v>14400</v>
      </c>
    </row>
    <row r="620" spans="1:21" ht="14.25" hidden="1" customHeight="1" x14ac:dyDescent="0.25">
      <c r="A620" s="41" t="s">
        <v>1126</v>
      </c>
      <c r="B620" s="41">
        <v>40000</v>
      </c>
      <c r="C620" s="52">
        <v>5540</v>
      </c>
      <c r="D620" s="52" t="str">
        <f>LEFT(Table1[[#This Row],[Eelarvekonto]],2)</f>
        <v>55</v>
      </c>
      <c r="E620" s="41" t="str">
        <f>VLOOKUP(Table1[[#This Row],[Eelarvekonto]],Table5[[Konto]:[Konto nimetus]],2,FALSE)</f>
        <v>Mitmesugused majanduskulud</v>
      </c>
      <c r="F620" s="41" t="s">
        <v>139</v>
      </c>
      <c r="G620" s="41" t="s">
        <v>24</v>
      </c>
      <c r="J620" s="41" t="s">
        <v>139</v>
      </c>
      <c r="K620" s="41" t="s">
        <v>54</v>
      </c>
      <c r="L620" s="58" t="s">
        <v>404</v>
      </c>
      <c r="M620" s="58" t="str">
        <f>LEFT(Table1[[#This Row],[Tegevusala kood]],2)</f>
        <v>01</v>
      </c>
      <c r="N620" s="41" t="str">
        <f>VLOOKUP(Table1[[#This Row],[Tegevusala kood]],Table4[[Tegevusala kood]:[Tegevusala alanimetus]],2,FALSE)</f>
        <v>Valla- ja linnavalitsus</v>
      </c>
      <c r="O620" s="41" t="s">
        <v>1</v>
      </c>
      <c r="P620" s="41" t="s">
        <v>1</v>
      </c>
      <c r="Q620" s="41" t="str">
        <f>VLOOKUP(Table1[[#This Row],[Eelarvekonto]],Table5[[Konto]:[Kontode alanimetus]],5,FALSE)</f>
        <v>Majandamiskulud</v>
      </c>
      <c r="R620" s="42" t="str">
        <f>VLOOKUP(Table1[[#This Row],[Tegevusala kood]],Table4[[Tegevusala kood]:[Tegevusala alanimetus]],4,FALSE)</f>
        <v>Valla- ja linnavalitsus</v>
      </c>
      <c r="S620" s="53"/>
      <c r="T620" s="53"/>
      <c r="U620" s="53">
        <f>Table1[[#This Row],[Summa]]+Table1[[#This Row],[I Muudatus]]+Table1[[#This Row],[II Muudatus]]</f>
        <v>40000</v>
      </c>
    </row>
    <row r="621" spans="1:21" ht="14.25" hidden="1" customHeight="1" x14ac:dyDescent="0.25">
      <c r="A621" s="41" t="s">
        <v>148</v>
      </c>
      <c r="B621" s="68">
        <v>19170</v>
      </c>
      <c r="C621" s="52">
        <v>551100</v>
      </c>
      <c r="D621" s="52" t="str">
        <f>LEFT(Table1[[#This Row],[Eelarvekonto]],2)</f>
        <v>55</v>
      </c>
      <c r="E621" s="41" t="str">
        <f>VLOOKUP(Table1[[#This Row],[Eelarvekonto]],Table5[[Konto]:[Konto nimetus]],2,FALSE)</f>
        <v>Küte ja soojusenergia</v>
      </c>
      <c r="F621" s="41" t="s">
        <v>139</v>
      </c>
      <c r="G621" s="41" t="s">
        <v>24</v>
      </c>
      <c r="J621" s="41" t="s">
        <v>139</v>
      </c>
      <c r="K621" s="41" t="s">
        <v>54</v>
      </c>
      <c r="L621" s="58" t="s">
        <v>404</v>
      </c>
      <c r="M621" s="58" t="str">
        <f>LEFT(Table1[[#This Row],[Tegevusala kood]],2)</f>
        <v>01</v>
      </c>
      <c r="N621" s="41" t="str">
        <f>VLOOKUP(Table1[[#This Row],[Tegevusala kood]],Table4[[Tegevusala kood]:[Tegevusala alanimetus]],2,FALSE)</f>
        <v>Valla- ja linnavalitsus</v>
      </c>
      <c r="O621" s="41" t="s">
        <v>1</v>
      </c>
      <c r="P621" s="41" t="s">
        <v>1</v>
      </c>
      <c r="Q621" s="41" t="str">
        <f>VLOOKUP(Table1[[#This Row],[Eelarvekonto]],Table5[[Konto]:[Kontode alanimetus]],5,FALSE)</f>
        <v>Majandamiskulud</v>
      </c>
      <c r="R621" s="42" t="str">
        <f>VLOOKUP(Table1[[#This Row],[Tegevusala kood]],Table4[[Tegevusala kood]:[Tegevusala alanimetus]],4,FALSE)</f>
        <v>Valla- ja linnavalitsus</v>
      </c>
      <c r="S621" s="53"/>
      <c r="T621" s="53"/>
      <c r="U621" s="53">
        <f>Table1[[#This Row],[Summa]]+Table1[[#This Row],[I Muudatus]]+Table1[[#This Row],[II Muudatus]]</f>
        <v>19170</v>
      </c>
    </row>
    <row r="622" spans="1:21" ht="14.25" hidden="1" customHeight="1" x14ac:dyDescent="0.25">
      <c r="A622" s="41" t="s">
        <v>149</v>
      </c>
      <c r="B622" s="41">
        <v>6500</v>
      </c>
      <c r="C622" s="52">
        <v>551101</v>
      </c>
      <c r="D622" s="52" t="str">
        <f>LEFT(Table1[[#This Row],[Eelarvekonto]],2)</f>
        <v>55</v>
      </c>
      <c r="E622" s="41" t="str">
        <f>VLOOKUP(Table1[[#This Row],[Eelarvekonto]],Table5[[Konto]:[Konto nimetus]],2,FALSE)</f>
        <v>Elekter</v>
      </c>
      <c r="F622" s="41" t="s">
        <v>139</v>
      </c>
      <c r="G622" s="41" t="s">
        <v>24</v>
      </c>
      <c r="J622" s="41" t="s">
        <v>139</v>
      </c>
      <c r="K622" s="41" t="s">
        <v>54</v>
      </c>
      <c r="L622" s="58" t="s">
        <v>404</v>
      </c>
      <c r="M622" s="58" t="str">
        <f>LEFT(Table1[[#This Row],[Tegevusala kood]],2)</f>
        <v>01</v>
      </c>
      <c r="N622" s="41" t="str">
        <f>VLOOKUP(Table1[[#This Row],[Tegevusala kood]],Table4[[Tegevusala kood]:[Tegevusala alanimetus]],2,FALSE)</f>
        <v>Valla- ja linnavalitsus</v>
      </c>
      <c r="O622" s="41" t="s">
        <v>1</v>
      </c>
      <c r="P622" s="41" t="s">
        <v>1</v>
      </c>
      <c r="Q622" s="41" t="str">
        <f>VLOOKUP(Table1[[#This Row],[Eelarvekonto]],Table5[[Konto]:[Kontode alanimetus]],5,FALSE)</f>
        <v>Majandamiskulud</v>
      </c>
      <c r="R622" s="42" t="str">
        <f>VLOOKUP(Table1[[#This Row],[Tegevusala kood]],Table4[[Tegevusala kood]:[Tegevusala alanimetus]],4,FALSE)</f>
        <v>Valla- ja linnavalitsus</v>
      </c>
      <c r="S622" s="53"/>
      <c r="T622" s="67"/>
      <c r="U622" s="53">
        <f>Table1[[#This Row],[Summa]]+Table1[[#This Row],[I Muudatus]]+Table1[[#This Row],[II Muudatus]]</f>
        <v>6500</v>
      </c>
    </row>
    <row r="623" spans="1:21" ht="14.25" hidden="1" customHeight="1" x14ac:dyDescent="0.25">
      <c r="A623" s="41" t="s">
        <v>483</v>
      </c>
      <c r="B623" s="41">
        <v>1500</v>
      </c>
      <c r="C623" s="52">
        <v>551102</v>
      </c>
      <c r="D623" s="52" t="str">
        <f>LEFT(Table1[[#This Row],[Eelarvekonto]],2)</f>
        <v>55</v>
      </c>
      <c r="E623" s="41" t="str">
        <f>VLOOKUP(Table1[[#This Row],[Eelarvekonto]],Table5[[Konto]:[Konto nimetus]],2,FALSE)</f>
        <v>Vesi ja kanalisatsioon</v>
      </c>
      <c r="F623" s="41" t="s">
        <v>139</v>
      </c>
      <c r="G623" s="41" t="s">
        <v>24</v>
      </c>
      <c r="J623" s="41" t="s">
        <v>139</v>
      </c>
      <c r="K623" s="41" t="s">
        <v>54</v>
      </c>
      <c r="L623" s="58" t="s">
        <v>404</v>
      </c>
      <c r="M623" s="58" t="str">
        <f>LEFT(Table1[[#This Row],[Tegevusala kood]],2)</f>
        <v>01</v>
      </c>
      <c r="N623" s="41" t="str">
        <f>VLOOKUP(Table1[[#This Row],[Tegevusala kood]],Table4[[Tegevusala kood]:[Tegevusala alanimetus]],2,FALSE)</f>
        <v>Valla- ja linnavalitsus</v>
      </c>
      <c r="O623" s="41" t="s">
        <v>1</v>
      </c>
      <c r="P623" s="41" t="s">
        <v>1</v>
      </c>
      <c r="Q623" s="41" t="str">
        <f>VLOOKUP(Table1[[#This Row],[Eelarvekonto]],Table5[[Konto]:[Kontode alanimetus]],5,FALSE)</f>
        <v>Majandamiskulud</v>
      </c>
      <c r="R623" s="42" t="str">
        <f>VLOOKUP(Table1[[#This Row],[Tegevusala kood]],Table4[[Tegevusala kood]:[Tegevusala alanimetus]],4,FALSE)</f>
        <v>Valla- ja linnavalitsus</v>
      </c>
      <c r="S623" s="53"/>
      <c r="T623" s="53"/>
      <c r="U623" s="53">
        <f>Table1[[#This Row],[Summa]]+Table1[[#This Row],[I Muudatus]]+Table1[[#This Row],[II Muudatus]]</f>
        <v>1500</v>
      </c>
    </row>
    <row r="624" spans="1:21" ht="14.25" hidden="1" customHeight="1" x14ac:dyDescent="0.25">
      <c r="A624" s="41" t="s">
        <v>479</v>
      </c>
      <c r="B624" s="41">
        <v>900</v>
      </c>
      <c r="C624" s="52">
        <v>551102</v>
      </c>
      <c r="D624" s="52" t="str">
        <f>LEFT(Table1[[#This Row],[Eelarvekonto]],2)</f>
        <v>55</v>
      </c>
      <c r="E624" s="41" t="str">
        <f>VLOOKUP(Table1[[#This Row],[Eelarvekonto]],Table5[[Konto]:[Konto nimetus]],2,FALSE)</f>
        <v>Vesi ja kanalisatsioon</v>
      </c>
      <c r="F624" s="41" t="s">
        <v>139</v>
      </c>
      <c r="G624" s="41" t="s">
        <v>24</v>
      </c>
      <c r="J624" s="41" t="s">
        <v>139</v>
      </c>
      <c r="K624" s="41" t="s">
        <v>54</v>
      </c>
      <c r="L624" s="58" t="s">
        <v>404</v>
      </c>
      <c r="M624" s="58" t="str">
        <f>LEFT(Table1[[#This Row],[Tegevusala kood]],2)</f>
        <v>01</v>
      </c>
      <c r="N624" s="41" t="str">
        <f>VLOOKUP(Table1[[#This Row],[Tegevusala kood]],Table4[[Tegevusala kood]:[Tegevusala alanimetus]],2,FALSE)</f>
        <v>Valla- ja linnavalitsus</v>
      </c>
      <c r="O624" s="41" t="s">
        <v>1</v>
      </c>
      <c r="P624" s="41" t="s">
        <v>1</v>
      </c>
      <c r="Q624" s="41" t="str">
        <f>VLOOKUP(Table1[[#This Row],[Eelarvekonto]],Table5[[Konto]:[Kontode alanimetus]],5,FALSE)</f>
        <v>Majandamiskulud</v>
      </c>
      <c r="R624" s="42" t="str">
        <f>VLOOKUP(Table1[[#This Row],[Tegevusala kood]],Table4[[Tegevusala kood]:[Tegevusala alanimetus]],4,FALSE)</f>
        <v>Valla- ja linnavalitsus</v>
      </c>
      <c r="S624" s="53"/>
      <c r="T624" s="53"/>
      <c r="U624" s="53">
        <f>Table1[[#This Row],[Summa]]+Table1[[#This Row],[I Muudatus]]+Table1[[#This Row],[II Muudatus]]</f>
        <v>900</v>
      </c>
    </row>
    <row r="625" spans="1:21" ht="14.25" hidden="1" customHeight="1" x14ac:dyDescent="0.25">
      <c r="A625" s="41" t="s">
        <v>749</v>
      </c>
      <c r="B625" s="41">
        <v>6500</v>
      </c>
      <c r="C625" s="52">
        <v>551107</v>
      </c>
      <c r="D625" s="52" t="str">
        <f>LEFT(Table1[[#This Row],[Eelarvekonto]],2)</f>
        <v>55</v>
      </c>
      <c r="E625" s="41" t="str">
        <f>VLOOKUP(Table1[[#This Row],[Eelarvekonto]],Table5[[Konto]:[Konto nimetus]],2,FALSE)</f>
        <v>Kindlustusmaksed</v>
      </c>
      <c r="F625" s="41" t="s">
        <v>139</v>
      </c>
      <c r="G625" s="41" t="s">
        <v>24</v>
      </c>
      <c r="J625" s="41" t="s">
        <v>139</v>
      </c>
      <c r="K625" s="41" t="s">
        <v>54</v>
      </c>
      <c r="L625" s="58" t="s">
        <v>404</v>
      </c>
      <c r="M625" s="58" t="str">
        <f>LEFT(Table1[[#This Row],[Tegevusala kood]],2)</f>
        <v>01</v>
      </c>
      <c r="N625" s="41" t="str">
        <f>VLOOKUP(Table1[[#This Row],[Tegevusala kood]],Table4[[Tegevusala kood]:[Tegevusala alanimetus]],2,FALSE)</f>
        <v>Valla- ja linnavalitsus</v>
      </c>
      <c r="O625" s="41" t="s">
        <v>1</v>
      </c>
      <c r="P625" s="41" t="s">
        <v>1</v>
      </c>
      <c r="Q625" s="41" t="str">
        <f>VLOOKUP(Table1[[#This Row],[Eelarvekonto]],Table5[[Konto]:[Kontode alanimetus]],5,FALSE)</f>
        <v>Majandamiskulud</v>
      </c>
      <c r="R625" s="42" t="str">
        <f>VLOOKUP(Table1[[#This Row],[Tegevusala kood]],Table4[[Tegevusala kood]:[Tegevusala alanimetus]],4,FALSE)</f>
        <v>Valla- ja linnavalitsus</v>
      </c>
      <c r="S625" s="53"/>
      <c r="T625" s="53"/>
      <c r="U625" s="53">
        <f>Table1[[#This Row],[Summa]]+Table1[[#This Row],[I Muudatus]]+Table1[[#This Row],[II Muudatus]]</f>
        <v>6500</v>
      </c>
    </row>
    <row r="626" spans="1:21" ht="14.25" hidden="1" customHeight="1" x14ac:dyDescent="0.25">
      <c r="A626" s="41" t="s">
        <v>1064</v>
      </c>
      <c r="B626" s="41">
        <v>9000</v>
      </c>
      <c r="C626" s="52">
        <v>551300</v>
      </c>
      <c r="D626" s="52" t="str">
        <f>LEFT(Table1[[#This Row],[Eelarvekonto]],2)</f>
        <v>55</v>
      </c>
      <c r="E626" s="41" t="str">
        <f>VLOOKUP(Table1[[#This Row],[Eelarvekonto]],Table5[[Konto]:[Konto nimetus]],2,FALSE)</f>
        <v>Kütus</v>
      </c>
      <c r="F626" s="41" t="s">
        <v>139</v>
      </c>
      <c r="G626" s="41" t="s">
        <v>24</v>
      </c>
      <c r="J626" s="41" t="s">
        <v>139</v>
      </c>
      <c r="K626" s="41" t="s">
        <v>54</v>
      </c>
      <c r="L626" s="58" t="s">
        <v>404</v>
      </c>
      <c r="M626" s="58" t="str">
        <f>LEFT(Table1[[#This Row],[Tegevusala kood]],2)</f>
        <v>01</v>
      </c>
      <c r="N626" s="41" t="str">
        <f>VLOOKUP(Table1[[#This Row],[Tegevusala kood]],Table4[[Tegevusala kood]:[Tegevusala alanimetus]],2,FALSE)</f>
        <v>Valla- ja linnavalitsus</v>
      </c>
      <c r="O626" s="41" t="s">
        <v>1</v>
      </c>
      <c r="P626" s="41" t="s">
        <v>1</v>
      </c>
      <c r="Q626" s="41" t="str">
        <f>VLOOKUP(Table1[[#This Row],[Eelarvekonto]],Table5[[Konto]:[Kontode alanimetus]],5,FALSE)</f>
        <v>Majandamiskulud</v>
      </c>
      <c r="R626" s="42" t="str">
        <f>VLOOKUP(Table1[[#This Row],[Tegevusala kood]],Table4[[Tegevusala kood]:[Tegevusala alanimetus]],4,FALSE)</f>
        <v>Valla- ja linnavalitsus</v>
      </c>
      <c r="S626" s="53"/>
      <c r="T626" s="53"/>
      <c r="U626" s="53">
        <f>Table1[[#This Row],[Summa]]+Table1[[#This Row],[I Muudatus]]+Table1[[#This Row],[II Muudatus]]</f>
        <v>9000</v>
      </c>
    </row>
    <row r="627" spans="1:21" ht="14.25" hidden="1" customHeight="1" x14ac:dyDescent="0.25">
      <c r="A627" s="41" t="s">
        <v>1129</v>
      </c>
      <c r="B627" s="64">
        <v>5227.2</v>
      </c>
      <c r="C627" s="52">
        <v>551308</v>
      </c>
      <c r="D627" s="52" t="str">
        <f>LEFT(Table1[[#This Row],[Eelarvekonto]],2)</f>
        <v>55</v>
      </c>
      <c r="E627" s="41" t="str">
        <f>VLOOKUP(Table1[[#This Row],[Eelarvekonto]],Table5[[Konto]:[Konto nimetus]],2,FALSE)</f>
        <v>Sõidukite kasutusrent</v>
      </c>
      <c r="F627" s="41" t="s">
        <v>139</v>
      </c>
      <c r="G627" s="41" t="s">
        <v>24</v>
      </c>
      <c r="J627" s="41" t="s">
        <v>139</v>
      </c>
      <c r="K627" s="41" t="s">
        <v>54</v>
      </c>
      <c r="L627" s="58" t="s">
        <v>404</v>
      </c>
      <c r="M627" s="58" t="str">
        <f>LEFT(Table1[[#This Row],[Tegevusala kood]],2)</f>
        <v>01</v>
      </c>
      <c r="N627" s="41" t="str">
        <f>VLOOKUP(Table1[[#This Row],[Tegevusala kood]],Table4[[Tegevusala kood]:[Tegevusala alanimetus]],2,FALSE)</f>
        <v>Valla- ja linnavalitsus</v>
      </c>
      <c r="O627" s="41" t="s">
        <v>1</v>
      </c>
      <c r="P627" s="41" t="s">
        <v>1</v>
      </c>
      <c r="Q627" s="41" t="str">
        <f>VLOOKUP(Table1[[#This Row],[Eelarvekonto]],Table5[[Konto]:[Kontode alanimetus]],5,FALSE)</f>
        <v>Majandamiskulud</v>
      </c>
      <c r="R627" s="42" t="str">
        <f>VLOOKUP(Table1[[#This Row],[Tegevusala kood]],Table4[[Tegevusala kood]:[Tegevusala alanimetus]],4,FALSE)</f>
        <v>Valla- ja linnavalitsus</v>
      </c>
      <c r="S627" s="53"/>
      <c r="T627" s="53"/>
      <c r="U627" s="53">
        <f>Table1[[#This Row],[Summa]]+Table1[[#This Row],[I Muudatus]]+Table1[[#This Row],[II Muudatus]]</f>
        <v>5227.2</v>
      </c>
    </row>
    <row r="628" spans="1:21" ht="14.25" hidden="1" customHeight="1" x14ac:dyDescent="0.25">
      <c r="A628" s="41" t="s">
        <v>677</v>
      </c>
      <c r="B628" s="41">
        <v>600</v>
      </c>
      <c r="C628" s="52">
        <v>5513081</v>
      </c>
      <c r="D628" s="68" t="str">
        <f>LEFT(Table1[[#This Row],[Eelarvekonto]],2)</f>
        <v>55</v>
      </c>
      <c r="E628" s="41" t="str">
        <f>VLOOKUP(Table1[[#This Row],[Eelarvekonto]],Table5[[Konto]:[Konto nimetus]],2,FALSE)</f>
        <v>Isikliku sõiduauto kompensatsioon</v>
      </c>
      <c r="F628" s="41" t="s">
        <v>139</v>
      </c>
      <c r="G628" s="41" t="s">
        <v>24</v>
      </c>
      <c r="J628" s="41" t="s">
        <v>406</v>
      </c>
      <c r="K628" s="41" t="s">
        <v>405</v>
      </c>
      <c r="L628" s="58" t="s">
        <v>404</v>
      </c>
      <c r="M628" s="58" t="str">
        <f>LEFT(Table1[[#This Row],[Tegevusala kood]],2)</f>
        <v>01</v>
      </c>
      <c r="N628" s="41" t="str">
        <f>VLOOKUP(Table1[[#This Row],[Tegevusala kood]],Table4[[Tegevusala kood]:[Tegevusala alanimetus]],2,FALSE)</f>
        <v>Valla- ja linnavalitsus</v>
      </c>
      <c r="O628" s="41" t="s">
        <v>1</v>
      </c>
      <c r="P628" s="41" t="s">
        <v>1</v>
      </c>
      <c r="Q628" s="41" t="str">
        <f>VLOOKUP(Table1[[#This Row],[Eelarvekonto]],Table5[[Konto]:[Kontode alanimetus]],5,FALSE)</f>
        <v>Majandamiskulud</v>
      </c>
      <c r="R628" s="42" t="str">
        <f>VLOOKUP(Table1[[#This Row],[Tegevusala kood]],Table4[[Tegevusala kood]:[Tegevusala alanimetus]],4,FALSE)</f>
        <v>Valla- ja linnavalitsus</v>
      </c>
      <c r="S628" s="53"/>
      <c r="T628" s="53"/>
      <c r="U628" s="53">
        <f>Table1[[#This Row],[Summa]]+Table1[[#This Row],[I Muudatus]]+Table1[[#This Row],[II Muudatus]]</f>
        <v>600</v>
      </c>
    </row>
    <row r="629" spans="1:21" ht="14.25" hidden="1" customHeight="1" x14ac:dyDescent="0.25">
      <c r="A629" s="41" t="s">
        <v>197</v>
      </c>
      <c r="B629" s="41">
        <v>1800</v>
      </c>
      <c r="C629" s="52">
        <v>5513081</v>
      </c>
      <c r="D629" s="68" t="str">
        <f>LEFT(Table1[[#This Row],[Eelarvekonto]],2)</f>
        <v>55</v>
      </c>
      <c r="E629" s="41" t="str">
        <f>VLOOKUP(Table1[[#This Row],[Eelarvekonto]],Table5[[Konto]:[Konto nimetus]],2,FALSE)</f>
        <v>Isikliku sõiduauto kompensatsioon</v>
      </c>
      <c r="F629" s="41" t="s">
        <v>139</v>
      </c>
      <c r="G629" s="41" t="s">
        <v>24</v>
      </c>
      <c r="J629" s="41" t="s">
        <v>406</v>
      </c>
      <c r="K629" s="41" t="s">
        <v>405</v>
      </c>
      <c r="L629" s="58" t="s">
        <v>404</v>
      </c>
      <c r="M629" s="58" t="str">
        <f>LEFT(Table1[[#This Row],[Tegevusala kood]],2)</f>
        <v>01</v>
      </c>
      <c r="N629" s="41" t="str">
        <f>VLOOKUP(Table1[[#This Row],[Tegevusala kood]],Table4[[Tegevusala kood]:[Tegevusala alanimetus]],2,FALSE)</f>
        <v>Valla- ja linnavalitsus</v>
      </c>
      <c r="O629" s="41" t="s">
        <v>1</v>
      </c>
      <c r="P629" s="41" t="s">
        <v>1</v>
      </c>
      <c r="Q629" s="41" t="str">
        <f>VLOOKUP(Table1[[#This Row],[Eelarvekonto]],Table5[[Konto]:[Kontode alanimetus]],5,FALSE)</f>
        <v>Majandamiskulud</v>
      </c>
      <c r="R629" s="42" t="str">
        <f>VLOOKUP(Table1[[#This Row],[Tegevusala kood]],Table4[[Tegevusala kood]:[Tegevusala alanimetus]],4,FALSE)</f>
        <v>Valla- ja linnavalitsus</v>
      </c>
      <c r="S629" s="53"/>
      <c r="T629" s="53"/>
      <c r="U629" s="53">
        <f>Table1[[#This Row],[Summa]]+Table1[[#This Row],[I Muudatus]]+Table1[[#This Row],[II Muudatus]]</f>
        <v>1800</v>
      </c>
    </row>
    <row r="630" spans="1:21" ht="14.25" hidden="1" customHeight="1" x14ac:dyDescent="0.25">
      <c r="A630" s="41" t="s">
        <v>197</v>
      </c>
      <c r="B630" s="41">
        <v>2400</v>
      </c>
      <c r="C630" s="52">
        <v>5513081</v>
      </c>
      <c r="D630" s="52" t="str">
        <f>LEFT(Table1[[#This Row],[Eelarvekonto]],2)</f>
        <v>55</v>
      </c>
      <c r="E630" s="41" t="str">
        <f>VLOOKUP(Table1[[#This Row],[Eelarvekonto]],Table5[[Konto]:[Konto nimetus]],2,FALSE)</f>
        <v>Isikliku sõiduauto kompensatsioon</v>
      </c>
      <c r="F630" s="41" t="s">
        <v>139</v>
      </c>
      <c r="G630" s="41" t="s">
        <v>24</v>
      </c>
      <c r="J630" s="41" t="s">
        <v>406</v>
      </c>
      <c r="K630" s="41" t="s">
        <v>405</v>
      </c>
      <c r="L630" s="58" t="s">
        <v>404</v>
      </c>
      <c r="M630" s="58" t="str">
        <f>LEFT(Table1[[#This Row],[Tegevusala kood]],2)</f>
        <v>01</v>
      </c>
      <c r="N630" s="41" t="str">
        <f>VLOOKUP(Table1[[#This Row],[Tegevusala kood]],Table4[[Tegevusala kood]:[Tegevusala alanimetus]],2,FALSE)</f>
        <v>Valla- ja linnavalitsus</v>
      </c>
      <c r="O630" s="41" t="s">
        <v>1</v>
      </c>
      <c r="P630" s="41" t="s">
        <v>1</v>
      </c>
      <c r="Q630" s="41" t="str">
        <f>VLOOKUP(Table1[[#This Row],[Eelarvekonto]],Table5[[Konto]:[Kontode alanimetus]],5,FALSE)</f>
        <v>Majandamiskulud</v>
      </c>
      <c r="R630" s="42" t="str">
        <f>VLOOKUP(Table1[[#This Row],[Tegevusala kood]],Table4[[Tegevusala kood]:[Tegevusala alanimetus]],4,FALSE)</f>
        <v>Valla- ja linnavalitsus</v>
      </c>
      <c r="S630" s="53"/>
      <c r="T630" s="53"/>
      <c r="U630" s="53">
        <f>Table1[[#This Row],[Summa]]+Table1[[#This Row],[I Muudatus]]+Table1[[#This Row],[II Muudatus]]</f>
        <v>2400</v>
      </c>
    </row>
    <row r="631" spans="1:21" ht="14.25" hidden="1" customHeight="1" x14ac:dyDescent="0.25">
      <c r="A631" s="41" t="s">
        <v>754</v>
      </c>
      <c r="B631" s="41">
        <v>768</v>
      </c>
      <c r="C631" s="52">
        <v>5513081</v>
      </c>
      <c r="D631" s="52" t="str">
        <f>LEFT(Table1[[#This Row],[Eelarvekonto]],2)</f>
        <v>55</v>
      </c>
      <c r="E631" s="41" t="str">
        <f>VLOOKUP(Table1[[#This Row],[Eelarvekonto]],Table5[[Konto]:[Konto nimetus]],2,FALSE)</f>
        <v>Isikliku sõiduauto kompensatsioon</v>
      </c>
      <c r="F631" s="41" t="s">
        <v>139</v>
      </c>
      <c r="G631" s="41" t="s">
        <v>24</v>
      </c>
      <c r="J631" s="41" t="s">
        <v>139</v>
      </c>
      <c r="K631" s="41" t="s">
        <v>54</v>
      </c>
      <c r="L631" s="58" t="s">
        <v>404</v>
      </c>
      <c r="M631" s="58" t="str">
        <f>LEFT(Table1[[#This Row],[Tegevusala kood]],2)</f>
        <v>01</v>
      </c>
      <c r="N631" s="41" t="str">
        <f>VLOOKUP(Table1[[#This Row],[Tegevusala kood]],Table4[[Tegevusala kood]:[Tegevusala alanimetus]],2,FALSE)</f>
        <v>Valla- ja linnavalitsus</v>
      </c>
      <c r="O631" s="41" t="s">
        <v>1</v>
      </c>
      <c r="P631" s="41" t="s">
        <v>1</v>
      </c>
      <c r="Q631" s="41" t="str">
        <f>VLOOKUP(Table1[[#This Row],[Eelarvekonto]],Table5[[Konto]:[Kontode alanimetus]],5,FALSE)</f>
        <v>Majandamiskulud</v>
      </c>
      <c r="R631" s="42" t="str">
        <f>VLOOKUP(Table1[[#This Row],[Tegevusala kood]],Table4[[Tegevusala kood]:[Tegevusala alanimetus]],4,FALSE)</f>
        <v>Valla- ja linnavalitsus</v>
      </c>
      <c r="S631" s="53"/>
      <c r="T631" s="53"/>
      <c r="U631" s="53">
        <f>Table1[[#This Row],[Summa]]+Table1[[#This Row],[I Muudatus]]+Table1[[#This Row],[II Muudatus]]</f>
        <v>768</v>
      </c>
    </row>
    <row r="632" spans="1:21" ht="14.25" hidden="1" customHeight="1" x14ac:dyDescent="0.25">
      <c r="A632" s="41" t="s">
        <v>751</v>
      </c>
      <c r="B632" s="41">
        <v>100</v>
      </c>
      <c r="C632" s="52">
        <v>5513081</v>
      </c>
      <c r="D632" s="52" t="str">
        <f>LEFT(Table1[[#This Row],[Eelarvekonto]],2)</f>
        <v>55</v>
      </c>
      <c r="E632" s="41" t="str">
        <f>VLOOKUP(Table1[[#This Row],[Eelarvekonto]],Table5[[Konto]:[Konto nimetus]],2,FALSE)</f>
        <v>Isikliku sõiduauto kompensatsioon</v>
      </c>
      <c r="F632" s="41" t="s">
        <v>139</v>
      </c>
      <c r="G632" s="41" t="s">
        <v>24</v>
      </c>
      <c r="J632" s="41" t="s">
        <v>139</v>
      </c>
      <c r="K632" s="41" t="s">
        <v>54</v>
      </c>
      <c r="L632" s="58" t="s">
        <v>404</v>
      </c>
      <c r="M632" s="58" t="str">
        <f>LEFT(Table1[[#This Row],[Tegevusala kood]],2)</f>
        <v>01</v>
      </c>
      <c r="N632" s="41" t="str">
        <f>VLOOKUP(Table1[[#This Row],[Tegevusala kood]],Table4[[Tegevusala kood]:[Tegevusala alanimetus]],2,FALSE)</f>
        <v>Valla- ja linnavalitsus</v>
      </c>
      <c r="O632" s="41" t="s">
        <v>1</v>
      </c>
      <c r="P632" s="41" t="s">
        <v>1</v>
      </c>
      <c r="Q632" s="41" t="str">
        <f>VLOOKUP(Table1[[#This Row],[Eelarvekonto]],Table5[[Konto]:[Kontode alanimetus]],5,FALSE)</f>
        <v>Majandamiskulud</v>
      </c>
      <c r="R632" s="42" t="str">
        <f>VLOOKUP(Table1[[#This Row],[Tegevusala kood]],Table4[[Tegevusala kood]:[Tegevusala alanimetus]],4,FALSE)</f>
        <v>Valla- ja linnavalitsus</v>
      </c>
      <c r="S632" s="53"/>
      <c r="T632" s="53"/>
      <c r="U632" s="53">
        <f>Table1[[#This Row],[Summa]]+Table1[[#This Row],[I Muudatus]]+Table1[[#This Row],[II Muudatus]]</f>
        <v>100</v>
      </c>
    </row>
    <row r="633" spans="1:21" ht="14.25" hidden="1" customHeight="1" x14ac:dyDescent="0.25">
      <c r="A633" s="41" t="s">
        <v>750</v>
      </c>
      <c r="B633" s="41">
        <v>1800</v>
      </c>
      <c r="C633" s="52">
        <v>5513081</v>
      </c>
      <c r="D633" s="52" t="str">
        <f>LEFT(Table1[[#This Row],[Eelarvekonto]],2)</f>
        <v>55</v>
      </c>
      <c r="E633" s="41" t="str">
        <f>VLOOKUP(Table1[[#This Row],[Eelarvekonto]],Table5[[Konto]:[Konto nimetus]],2,FALSE)</f>
        <v>Isikliku sõiduauto kompensatsioon</v>
      </c>
      <c r="F633" s="41" t="s">
        <v>139</v>
      </c>
      <c r="G633" s="41" t="s">
        <v>24</v>
      </c>
      <c r="J633" s="41" t="s">
        <v>139</v>
      </c>
      <c r="K633" s="41" t="s">
        <v>54</v>
      </c>
      <c r="L633" s="58" t="s">
        <v>404</v>
      </c>
      <c r="M633" s="58" t="str">
        <f>LEFT(Table1[[#This Row],[Tegevusala kood]],2)</f>
        <v>01</v>
      </c>
      <c r="N633" s="41" t="str">
        <f>VLOOKUP(Table1[[#This Row],[Tegevusala kood]],Table4[[Tegevusala kood]:[Tegevusala alanimetus]],2,FALSE)</f>
        <v>Valla- ja linnavalitsus</v>
      </c>
      <c r="O633" s="41" t="s">
        <v>1</v>
      </c>
      <c r="P633" s="41" t="s">
        <v>1</v>
      </c>
      <c r="Q633" s="41" t="str">
        <f>VLOOKUP(Table1[[#This Row],[Eelarvekonto]],Table5[[Konto]:[Kontode alanimetus]],5,FALSE)</f>
        <v>Majandamiskulud</v>
      </c>
      <c r="R633" s="42" t="str">
        <f>VLOOKUP(Table1[[#This Row],[Tegevusala kood]],Table4[[Tegevusala kood]:[Tegevusala alanimetus]],4,FALSE)</f>
        <v>Valla- ja linnavalitsus</v>
      </c>
      <c r="S633" s="53"/>
      <c r="T633" s="53"/>
      <c r="U633" s="53">
        <f>Table1[[#This Row],[Summa]]+Table1[[#This Row],[I Muudatus]]+Table1[[#This Row],[II Muudatus]]</f>
        <v>1800</v>
      </c>
    </row>
    <row r="634" spans="1:21" ht="14.25" customHeight="1" x14ac:dyDescent="0.25">
      <c r="A634" s="41" t="s">
        <v>897</v>
      </c>
      <c r="B634" s="41">
        <v>80000</v>
      </c>
      <c r="C634" s="52">
        <v>1551</v>
      </c>
      <c r="D634" s="52" t="str">
        <f>LEFT(Table1[[#This Row],[Eelarvekonto]],2)</f>
        <v>15</v>
      </c>
      <c r="E634" s="41" t="str">
        <f>VLOOKUP(Table1[[#This Row],[Eelarvekonto]],Table5[[Konto]:[Konto nimetus]],2,FALSE)</f>
        <v>Hooned ja rajatised</v>
      </c>
      <c r="F634" s="41" t="s">
        <v>956</v>
      </c>
      <c r="G634" s="41" t="s">
        <v>891</v>
      </c>
      <c r="J634" s="41" t="s">
        <v>726</v>
      </c>
      <c r="K634" s="41" t="s">
        <v>703</v>
      </c>
      <c r="L634" s="58" t="s">
        <v>266</v>
      </c>
      <c r="M634" s="58" t="str">
        <f>LEFT(Table1[[#This Row],[Tegevusala kood]],2)</f>
        <v>09</v>
      </c>
      <c r="N634" s="41" t="str">
        <f>VLOOKUP(Table1[[#This Row],[Tegevusala kood]],Table4[[Tegevusala kood]:[Tegevusala alanimetus]],2,FALSE)</f>
        <v>Roela kool</v>
      </c>
      <c r="O634" s="41" t="s">
        <v>1</v>
      </c>
      <c r="P634" s="41" t="s">
        <v>1</v>
      </c>
      <c r="Q634" s="41" t="str">
        <f>VLOOKUP(Table1[[#This Row],[Eelarvekonto]],Table5[[Konto]:[Kontode alanimetus]],5,FALSE)</f>
        <v>Põhivara soetus (-)</v>
      </c>
      <c r="R634" s="42" t="str">
        <f>VLOOKUP(Table1[[#This Row],[Tegevusala kood]],Table4[[Tegevusala kood]:[Tegevusala alanimetus]],4,FALSE)</f>
        <v>Põhihariduse otsekulud</v>
      </c>
      <c r="S634" s="53"/>
      <c r="T634" s="53"/>
      <c r="U634" s="53">
        <f>Table1[[#This Row],[Summa]]+Table1[[#This Row],[I Muudatus]]+Table1[[#This Row],[II Muudatus]]</f>
        <v>80000</v>
      </c>
    </row>
    <row r="635" spans="1:21" ht="14.25" hidden="1" customHeight="1" x14ac:dyDescent="0.25">
      <c r="A635" s="42" t="s">
        <v>1456</v>
      </c>
      <c r="B635" s="42">
        <v>1632</v>
      </c>
      <c r="C635" s="42">
        <v>5002</v>
      </c>
      <c r="D635" s="53" t="str">
        <f>LEFT(Table1[[#This Row],[Eelarvekonto]],2)</f>
        <v>50</v>
      </c>
      <c r="E635" s="42" t="str">
        <f>VLOOKUP(Table1[[#This Row],[Eelarvekonto]],Table5[[Konto]:[Konto nimetus]],2,FALSE)</f>
        <v>Töötajate töötasud</v>
      </c>
      <c r="F635" s="98" t="s">
        <v>139</v>
      </c>
      <c r="G635" s="42" t="s">
        <v>24</v>
      </c>
      <c r="H635" s="42"/>
      <c r="I635" s="42"/>
      <c r="J635" s="42" t="s">
        <v>306</v>
      </c>
      <c r="K635" s="42" t="s">
        <v>304</v>
      </c>
      <c r="L635" s="62" t="s">
        <v>305</v>
      </c>
      <c r="M635" s="100" t="str">
        <f>LEFT(Table1[[#This Row],[Tegevusala kood]],2)</f>
        <v>09</v>
      </c>
      <c r="N635" s="53" t="str">
        <f>VLOOKUP(Table1[[#This Row],[Tegevusala kood]],Table4[[Tegevusala kood]:[Tegevusala alanimetus]],2,FALSE)</f>
        <v>Vinni Lasteaed</v>
      </c>
      <c r="O635" s="42"/>
      <c r="P635" s="42"/>
      <c r="Q635" s="53" t="str">
        <f>VLOOKUP(Table1[[#This Row],[Eelarvekonto]],Table5[[Konto]:[Kontode alanimetus]],5,FALSE)</f>
        <v>Tööjõukulud</v>
      </c>
      <c r="R635" s="53" t="str">
        <f>VLOOKUP(Table1[[#This Row],[Tegevusala kood]],Table4[[Tegevusala kood]:[Tegevusala alanimetus]],4,FALSE)</f>
        <v>Alusharidus</v>
      </c>
      <c r="S635" s="53"/>
      <c r="T635" s="53"/>
      <c r="U635" s="53">
        <f>Table1[[#This Row],[Summa]]+Table1[[#This Row],[I Muudatus]]+Table1[[#This Row],[II Muudatus]]</f>
        <v>1632</v>
      </c>
    </row>
    <row r="636" spans="1:21" ht="14.25" hidden="1" customHeight="1" x14ac:dyDescent="0.25">
      <c r="A636" s="41" t="s">
        <v>471</v>
      </c>
      <c r="B636" s="41">
        <v>8208</v>
      </c>
      <c r="C636" s="52">
        <v>5002</v>
      </c>
      <c r="D636" s="52" t="str">
        <f>LEFT(Table1[[#This Row],[Eelarvekonto]],2)</f>
        <v>50</v>
      </c>
      <c r="E636" s="41" t="str">
        <f>VLOOKUP(Table1[[#This Row],[Eelarvekonto]],Table5[[Konto]:[Konto nimetus]],2,FALSE)</f>
        <v>Töötajate töötasud</v>
      </c>
      <c r="F636" s="41" t="s">
        <v>139</v>
      </c>
      <c r="G636" s="41" t="s">
        <v>24</v>
      </c>
      <c r="J636" s="41" t="s">
        <v>264</v>
      </c>
      <c r="K636" s="41" t="s">
        <v>263</v>
      </c>
      <c r="L636" s="58" t="s">
        <v>266</v>
      </c>
      <c r="M636" s="58" t="str">
        <f>LEFT(Table1[[#This Row],[Tegevusala kood]],2)</f>
        <v>09</v>
      </c>
      <c r="N636" s="41" t="str">
        <f>VLOOKUP(Table1[[#This Row],[Tegevusala kood]],Table4[[Tegevusala kood]:[Tegevusala alanimetus]],2,FALSE)</f>
        <v>Roela kool</v>
      </c>
      <c r="O636" s="41" t="s">
        <v>1</v>
      </c>
      <c r="P636" s="41" t="s">
        <v>1</v>
      </c>
      <c r="Q636" s="41" t="str">
        <f>VLOOKUP(Table1[[#This Row],[Eelarvekonto]],Table5[[Konto]:[Kontode alanimetus]],5,FALSE)</f>
        <v>Tööjõukulud</v>
      </c>
      <c r="R636" s="42" t="str">
        <f>VLOOKUP(Table1[[#This Row],[Tegevusala kood]],Table4[[Tegevusala kood]:[Tegevusala alanimetus]],4,FALSE)</f>
        <v>Põhihariduse otsekulud</v>
      </c>
      <c r="S636" s="53"/>
      <c r="T636" s="53"/>
      <c r="U636" s="53">
        <f>Table1[[#This Row],[Summa]]+Table1[[#This Row],[I Muudatus]]+Table1[[#This Row],[II Muudatus]]</f>
        <v>8208</v>
      </c>
    </row>
    <row r="637" spans="1:21" ht="14.25" hidden="1" customHeight="1" x14ac:dyDescent="0.25">
      <c r="A637" s="41" t="s">
        <v>512</v>
      </c>
      <c r="B637" s="41">
        <v>7476</v>
      </c>
      <c r="C637" s="52">
        <v>5002</v>
      </c>
      <c r="D637" s="52" t="str">
        <f>LEFT(Table1[[#This Row],[Eelarvekonto]],2)</f>
        <v>50</v>
      </c>
      <c r="E637" s="41" t="str">
        <f>VLOOKUP(Table1[[#This Row],[Eelarvekonto]],Table5[[Konto]:[Konto nimetus]],2,FALSE)</f>
        <v>Töötajate töötasud</v>
      </c>
      <c r="F637" s="41" t="s">
        <v>139</v>
      </c>
      <c r="G637" s="41" t="s">
        <v>24</v>
      </c>
      <c r="J637" s="41" t="s">
        <v>264</v>
      </c>
      <c r="K637" s="41" t="s">
        <v>263</v>
      </c>
      <c r="L637" s="58" t="s">
        <v>266</v>
      </c>
      <c r="M637" s="58" t="str">
        <f>LEFT(Table1[[#This Row],[Tegevusala kood]],2)</f>
        <v>09</v>
      </c>
      <c r="N637" s="41" t="str">
        <f>VLOOKUP(Table1[[#This Row],[Tegevusala kood]],Table4[[Tegevusala kood]:[Tegevusala alanimetus]],2,FALSE)</f>
        <v>Roela kool</v>
      </c>
      <c r="O637" s="41" t="s">
        <v>1</v>
      </c>
      <c r="P637" s="41" t="s">
        <v>1</v>
      </c>
      <c r="Q637" s="41" t="str">
        <f>VLOOKUP(Table1[[#This Row],[Eelarvekonto]],Table5[[Konto]:[Kontode alanimetus]],5,FALSE)</f>
        <v>Tööjõukulud</v>
      </c>
      <c r="R637" s="42" t="str">
        <f>VLOOKUP(Table1[[#This Row],[Tegevusala kood]],Table4[[Tegevusala kood]:[Tegevusala alanimetus]],4,FALSE)</f>
        <v>Põhihariduse otsekulud</v>
      </c>
      <c r="S637" s="60"/>
      <c r="T637" s="53"/>
      <c r="U637" s="53">
        <f>Table1[[#This Row],[Summa]]+Table1[[#This Row],[I Muudatus]]+Table1[[#This Row],[II Muudatus]]</f>
        <v>7476</v>
      </c>
    </row>
    <row r="638" spans="1:21" ht="14.25" hidden="1" customHeight="1" x14ac:dyDescent="0.25">
      <c r="A638" s="41" t="s">
        <v>1507</v>
      </c>
      <c r="B638" s="41">
        <v>9048</v>
      </c>
      <c r="C638" s="52">
        <v>5002</v>
      </c>
      <c r="D638" s="52" t="str">
        <f>LEFT(Table1[[#This Row],[Eelarvekonto]],2)</f>
        <v>50</v>
      </c>
      <c r="E638" s="41" t="str">
        <f>VLOOKUP(Table1[[#This Row],[Eelarvekonto]],Table5[[Konto]:[Konto nimetus]],2,FALSE)</f>
        <v>Töötajate töötasud</v>
      </c>
      <c r="F638" s="41" t="s">
        <v>139</v>
      </c>
      <c r="G638" s="41" t="s">
        <v>24</v>
      </c>
      <c r="J638" s="41" t="s">
        <v>264</v>
      </c>
      <c r="K638" s="41" t="s">
        <v>263</v>
      </c>
      <c r="L638" s="58" t="s">
        <v>266</v>
      </c>
      <c r="M638" s="58" t="str">
        <f>LEFT(Table1[[#This Row],[Tegevusala kood]],2)</f>
        <v>09</v>
      </c>
      <c r="N638" s="41" t="str">
        <f>VLOOKUP(Table1[[#This Row],[Tegevusala kood]],Table4[[Tegevusala kood]:[Tegevusala alanimetus]],2,FALSE)</f>
        <v>Roela kool</v>
      </c>
      <c r="O638" s="41" t="s">
        <v>1</v>
      </c>
      <c r="P638" s="41" t="s">
        <v>1</v>
      </c>
      <c r="Q638" s="41" t="str">
        <f>VLOOKUP(Table1[[#This Row],[Eelarvekonto]],Table5[[Konto]:[Kontode alanimetus]],5,FALSE)</f>
        <v>Tööjõukulud</v>
      </c>
      <c r="R638" s="42" t="str">
        <f>VLOOKUP(Table1[[#This Row],[Tegevusala kood]],Table4[[Tegevusala kood]:[Tegevusala alanimetus]],4,FALSE)</f>
        <v>Põhihariduse otsekulud</v>
      </c>
      <c r="S638" s="53"/>
      <c r="T638" s="53"/>
      <c r="U638" s="53">
        <f>Table1[[#This Row],[Summa]]+Table1[[#This Row],[I Muudatus]]+Table1[[#This Row],[II Muudatus]]</f>
        <v>9048</v>
      </c>
    </row>
    <row r="639" spans="1:21" ht="14.25" hidden="1" customHeight="1" x14ac:dyDescent="0.25">
      <c r="A639" s="41" t="s">
        <v>535</v>
      </c>
      <c r="B639" s="41">
        <v>15000</v>
      </c>
      <c r="C639" s="52">
        <v>5002</v>
      </c>
      <c r="D639" s="52" t="str">
        <f>LEFT(Table1[[#This Row],[Eelarvekonto]],2)</f>
        <v>50</v>
      </c>
      <c r="E639" s="41" t="str">
        <f>VLOOKUP(Table1[[#This Row],[Eelarvekonto]],Table5[[Konto]:[Konto nimetus]],2,FALSE)</f>
        <v>Töötajate töötasud</v>
      </c>
      <c r="F639" s="41" t="s">
        <v>139</v>
      </c>
      <c r="G639" s="41" t="s">
        <v>24</v>
      </c>
      <c r="J639" s="41" t="s">
        <v>264</v>
      </c>
      <c r="K639" s="41" t="s">
        <v>263</v>
      </c>
      <c r="L639" s="58" t="s">
        <v>266</v>
      </c>
      <c r="M639" s="58" t="str">
        <f>LEFT(Table1[[#This Row],[Tegevusala kood]],2)</f>
        <v>09</v>
      </c>
      <c r="N639" s="41" t="str">
        <f>VLOOKUP(Table1[[#This Row],[Tegevusala kood]],Table4[[Tegevusala kood]:[Tegevusala alanimetus]],2,FALSE)</f>
        <v>Roela kool</v>
      </c>
      <c r="O639" s="41" t="s">
        <v>1</v>
      </c>
      <c r="P639" s="41" t="s">
        <v>1</v>
      </c>
      <c r="Q639" s="41" t="str">
        <f>VLOOKUP(Table1[[#This Row],[Eelarvekonto]],Table5[[Konto]:[Kontode alanimetus]],5,FALSE)</f>
        <v>Tööjõukulud</v>
      </c>
      <c r="R639" s="42" t="str">
        <f>VLOOKUP(Table1[[#This Row],[Tegevusala kood]],Table4[[Tegevusala kood]:[Tegevusala alanimetus]],4,FALSE)</f>
        <v>Põhihariduse otsekulud</v>
      </c>
      <c r="S639" s="53"/>
      <c r="T639" s="53"/>
      <c r="U639" s="53">
        <f>Table1[[#This Row],[Summa]]+Table1[[#This Row],[I Muudatus]]+Table1[[#This Row],[II Muudatus]]</f>
        <v>15000</v>
      </c>
    </row>
    <row r="640" spans="1:21" ht="14.25" hidden="1" customHeight="1" x14ac:dyDescent="0.25">
      <c r="A640" s="41" t="s">
        <v>534</v>
      </c>
      <c r="B640" s="41">
        <v>3624</v>
      </c>
      <c r="C640" s="52">
        <v>5002</v>
      </c>
      <c r="D640" s="52" t="str">
        <f>LEFT(Table1[[#This Row],[Eelarvekonto]],2)</f>
        <v>50</v>
      </c>
      <c r="E640" s="41" t="str">
        <f>VLOOKUP(Table1[[#This Row],[Eelarvekonto]],Table5[[Konto]:[Konto nimetus]],2,FALSE)</f>
        <v>Töötajate töötasud</v>
      </c>
      <c r="F640" s="41" t="s">
        <v>139</v>
      </c>
      <c r="G640" s="41" t="s">
        <v>24</v>
      </c>
      <c r="J640" s="41" t="s">
        <v>264</v>
      </c>
      <c r="K640" s="41" t="s">
        <v>263</v>
      </c>
      <c r="L640" s="58" t="s">
        <v>266</v>
      </c>
      <c r="M640" s="58" t="str">
        <f>LEFT(Table1[[#This Row],[Tegevusala kood]],2)</f>
        <v>09</v>
      </c>
      <c r="N640" s="41" t="str">
        <f>VLOOKUP(Table1[[#This Row],[Tegevusala kood]],Table4[[Tegevusala kood]:[Tegevusala alanimetus]],2,FALSE)</f>
        <v>Roela kool</v>
      </c>
      <c r="O640" s="41" t="s">
        <v>1</v>
      </c>
      <c r="P640" s="41" t="s">
        <v>1</v>
      </c>
      <c r="Q640" s="41" t="str">
        <f>VLOOKUP(Table1[[#This Row],[Eelarvekonto]],Table5[[Konto]:[Kontode alanimetus]],5,FALSE)</f>
        <v>Tööjõukulud</v>
      </c>
      <c r="R640" s="42" t="str">
        <f>VLOOKUP(Table1[[#This Row],[Tegevusala kood]],Table4[[Tegevusala kood]:[Tegevusala alanimetus]],4,FALSE)</f>
        <v>Põhihariduse otsekulud</v>
      </c>
      <c r="S640" s="53"/>
      <c r="T640" s="53"/>
      <c r="U640" s="53">
        <f>Table1[[#This Row],[Summa]]+Table1[[#This Row],[I Muudatus]]+Table1[[#This Row],[II Muudatus]]</f>
        <v>3624</v>
      </c>
    </row>
    <row r="641" spans="1:21" ht="14.25" hidden="1" customHeight="1" x14ac:dyDescent="0.25">
      <c r="A641" s="42" t="s">
        <v>1457</v>
      </c>
      <c r="B641" s="42">
        <v>1240.8</v>
      </c>
      <c r="C641" s="42">
        <v>5002</v>
      </c>
      <c r="D641" s="53" t="str">
        <f>LEFT(Table1[[#This Row],[Eelarvekonto]],2)</f>
        <v>50</v>
      </c>
      <c r="E641" s="42" t="str">
        <f>VLOOKUP(Table1[[#This Row],[Eelarvekonto]],Table5[[Konto]:[Konto nimetus]],2,FALSE)</f>
        <v>Töötajate töötasud</v>
      </c>
      <c r="F641" s="98" t="s">
        <v>139</v>
      </c>
      <c r="G641" s="42" t="s">
        <v>24</v>
      </c>
      <c r="H641" s="42"/>
      <c r="I641" s="42"/>
      <c r="J641" s="98" t="s">
        <v>293</v>
      </c>
      <c r="K641" s="42" t="s">
        <v>291</v>
      </c>
      <c r="L641" s="103" t="s">
        <v>292</v>
      </c>
      <c r="M641" s="100" t="str">
        <f>LEFT(Table1[[#This Row],[Tegevusala kood]],2)</f>
        <v>09</v>
      </c>
      <c r="N641" s="53" t="str">
        <f>VLOOKUP(Table1[[#This Row],[Tegevusala kood]],Table4[[Tegevusala kood]:[Tegevusala alanimetus]],2,FALSE)</f>
        <v>Pajusti Lasteaed Pajustis</v>
      </c>
      <c r="O641" s="42"/>
      <c r="P641" s="42"/>
      <c r="Q641" s="53" t="str">
        <f>VLOOKUP(Table1[[#This Row],[Eelarvekonto]],Table5[[Konto]:[Kontode alanimetus]],5,FALSE)</f>
        <v>Tööjõukulud</v>
      </c>
      <c r="R641" s="53" t="str">
        <f>VLOOKUP(Table1[[#This Row],[Tegevusala kood]],Table4[[Tegevusala kood]:[Tegevusala alanimetus]],4,FALSE)</f>
        <v>Alusharidus</v>
      </c>
      <c r="S641" s="53"/>
      <c r="T641" s="53"/>
      <c r="U641" s="53">
        <f>Table1[[#This Row],[Summa]]+Table1[[#This Row],[I Muudatus]]+Table1[[#This Row],[II Muudatus]]</f>
        <v>1240.8</v>
      </c>
    </row>
    <row r="642" spans="1:21" ht="14.25" hidden="1" customHeight="1" x14ac:dyDescent="0.25">
      <c r="A642" s="41" t="s">
        <v>1508</v>
      </c>
      <c r="B642" s="41">
        <f>457.8*12</f>
        <v>5493.6</v>
      </c>
      <c r="C642" s="52">
        <v>5002</v>
      </c>
      <c r="D642" s="52" t="str">
        <f>LEFT(Table1[[#This Row],[Eelarvekonto]],2)</f>
        <v>50</v>
      </c>
      <c r="E642" s="41" t="str">
        <f>VLOOKUP(Table1[[#This Row],[Eelarvekonto]],Table5[[Konto]:[Konto nimetus]],2,FALSE)</f>
        <v>Töötajate töötasud</v>
      </c>
      <c r="F642" s="41" t="s">
        <v>139</v>
      </c>
      <c r="G642" s="41" t="s">
        <v>24</v>
      </c>
      <c r="J642" s="41" t="s">
        <v>264</v>
      </c>
      <c r="K642" s="41" t="s">
        <v>263</v>
      </c>
      <c r="L642" s="58" t="s">
        <v>266</v>
      </c>
      <c r="M642" s="58" t="str">
        <f>LEFT(Table1[[#This Row],[Tegevusala kood]],2)</f>
        <v>09</v>
      </c>
      <c r="N642" s="41" t="str">
        <f>VLOOKUP(Table1[[#This Row],[Tegevusala kood]],Table4[[Tegevusala kood]:[Tegevusala alanimetus]],2,FALSE)</f>
        <v>Roela kool</v>
      </c>
      <c r="O642" s="41" t="s">
        <v>1</v>
      </c>
      <c r="P642" s="41" t="s">
        <v>1</v>
      </c>
      <c r="Q642" s="41" t="str">
        <f>VLOOKUP(Table1[[#This Row],[Eelarvekonto]],Table5[[Konto]:[Kontode alanimetus]],5,FALSE)</f>
        <v>Tööjõukulud</v>
      </c>
      <c r="R642" s="42" t="str">
        <f>VLOOKUP(Table1[[#This Row],[Tegevusala kood]],Table4[[Tegevusala kood]:[Tegevusala alanimetus]],4,FALSE)</f>
        <v>Põhihariduse otsekulud</v>
      </c>
      <c r="S642" s="53"/>
      <c r="T642" s="53"/>
      <c r="U642" s="53">
        <f>Table1[[#This Row],[Summa]]+Table1[[#This Row],[I Muudatus]]+Table1[[#This Row],[II Muudatus]]</f>
        <v>5493.6</v>
      </c>
    </row>
    <row r="643" spans="1:21" ht="14.25" hidden="1" customHeight="1" x14ac:dyDescent="0.25">
      <c r="A643" s="41" t="s">
        <v>1509</v>
      </c>
      <c r="B643" s="41">
        <f>588.6*12</f>
        <v>7063.2000000000007</v>
      </c>
      <c r="C643" s="52">
        <v>5002</v>
      </c>
      <c r="D643" s="52" t="str">
        <f>LEFT(Table1[[#This Row],[Eelarvekonto]],2)</f>
        <v>50</v>
      </c>
      <c r="E643" s="41" t="str">
        <f>VLOOKUP(Table1[[#This Row],[Eelarvekonto]],Table5[[Konto]:[Konto nimetus]],2,FALSE)</f>
        <v>Töötajate töötasud</v>
      </c>
      <c r="F643" s="41" t="s">
        <v>139</v>
      </c>
      <c r="G643" s="41" t="s">
        <v>24</v>
      </c>
      <c r="J643" s="41" t="s">
        <v>264</v>
      </c>
      <c r="K643" s="41" t="s">
        <v>263</v>
      </c>
      <c r="L643" s="58" t="s">
        <v>266</v>
      </c>
      <c r="M643" s="58" t="str">
        <f>LEFT(Table1[[#This Row],[Tegevusala kood]],2)</f>
        <v>09</v>
      </c>
      <c r="N643" s="41" t="str">
        <f>VLOOKUP(Table1[[#This Row],[Tegevusala kood]],Table4[[Tegevusala kood]:[Tegevusala alanimetus]],2,FALSE)</f>
        <v>Roela kool</v>
      </c>
      <c r="O643" s="41" t="s">
        <v>1</v>
      </c>
      <c r="P643" s="41" t="s">
        <v>1</v>
      </c>
      <c r="Q643" s="41" t="str">
        <f>VLOOKUP(Table1[[#This Row],[Eelarvekonto]],Table5[[Konto]:[Kontode alanimetus]],5,FALSE)</f>
        <v>Tööjõukulud</v>
      </c>
      <c r="R643" s="42" t="str">
        <f>VLOOKUP(Table1[[#This Row],[Tegevusala kood]],Table4[[Tegevusala kood]:[Tegevusala alanimetus]],4,FALSE)</f>
        <v>Põhihariduse otsekulud</v>
      </c>
      <c r="S643" s="53"/>
      <c r="T643" s="53"/>
      <c r="U643" s="53">
        <f>Table1[[#This Row],[Summa]]+Table1[[#This Row],[I Muudatus]]+Table1[[#This Row],[II Muudatus]]</f>
        <v>7063.2000000000007</v>
      </c>
    </row>
    <row r="644" spans="1:21" ht="14.25" hidden="1" customHeight="1" x14ac:dyDescent="0.25">
      <c r="A644" s="41" t="s">
        <v>1133</v>
      </c>
      <c r="B644" s="41">
        <v>1800</v>
      </c>
      <c r="C644" s="52">
        <v>5002</v>
      </c>
      <c r="D644" s="52" t="str">
        <f>LEFT(Table1[[#This Row],[Eelarvekonto]],2)</f>
        <v>50</v>
      </c>
      <c r="E644" s="41" t="str">
        <f>VLOOKUP(Table1[[#This Row],[Eelarvekonto]],Table5[[Konto]:[Konto nimetus]],2,FALSE)</f>
        <v>Töötajate töötasud</v>
      </c>
      <c r="F644" s="41" t="s">
        <v>139</v>
      </c>
      <c r="G644" s="41" t="s">
        <v>24</v>
      </c>
      <c r="J644" s="41" t="s">
        <v>264</v>
      </c>
      <c r="K644" s="41" t="s">
        <v>263</v>
      </c>
      <c r="L644" s="58" t="s">
        <v>266</v>
      </c>
      <c r="M644" s="58" t="str">
        <f>LEFT(Table1[[#This Row],[Tegevusala kood]],2)</f>
        <v>09</v>
      </c>
      <c r="N644" s="41" t="str">
        <f>VLOOKUP(Table1[[#This Row],[Tegevusala kood]],Table4[[Tegevusala kood]:[Tegevusala alanimetus]],2,FALSE)</f>
        <v>Roela kool</v>
      </c>
      <c r="O644" s="41" t="s">
        <v>1</v>
      </c>
      <c r="P644" s="41" t="s">
        <v>1</v>
      </c>
      <c r="Q644" s="41" t="str">
        <f>VLOOKUP(Table1[[#This Row],[Eelarvekonto]],Table5[[Konto]:[Kontode alanimetus]],5,FALSE)</f>
        <v>Tööjõukulud</v>
      </c>
      <c r="R644" s="42" t="str">
        <f>VLOOKUP(Table1[[#This Row],[Tegevusala kood]],Table4[[Tegevusala kood]:[Tegevusala alanimetus]],4,FALSE)</f>
        <v>Põhihariduse otsekulud</v>
      </c>
      <c r="S644" s="53"/>
      <c r="T644" s="53"/>
      <c r="U644" s="53">
        <f>Table1[[#This Row],[Summa]]+Table1[[#This Row],[I Muudatus]]+Table1[[#This Row],[II Muudatus]]</f>
        <v>1800</v>
      </c>
    </row>
    <row r="645" spans="1:21" ht="14.25" hidden="1" customHeight="1" x14ac:dyDescent="0.25">
      <c r="A645" s="41" t="s">
        <v>533</v>
      </c>
      <c r="B645" s="41">
        <v>8340</v>
      </c>
      <c r="C645" s="52">
        <v>5002</v>
      </c>
      <c r="D645" s="52" t="str">
        <f>LEFT(Table1[[#This Row],[Eelarvekonto]],2)</f>
        <v>50</v>
      </c>
      <c r="E645" s="41" t="str">
        <f>VLOOKUP(Table1[[#This Row],[Eelarvekonto]],Table5[[Konto]:[Konto nimetus]],2,FALSE)</f>
        <v>Töötajate töötasud</v>
      </c>
      <c r="F645" s="41" t="s">
        <v>139</v>
      </c>
      <c r="G645" s="41" t="s">
        <v>24</v>
      </c>
      <c r="J645" s="41" t="s">
        <v>264</v>
      </c>
      <c r="K645" s="41" t="s">
        <v>263</v>
      </c>
      <c r="L645" s="58" t="s">
        <v>266</v>
      </c>
      <c r="M645" s="58" t="str">
        <f>LEFT(Table1[[#This Row],[Tegevusala kood]],2)</f>
        <v>09</v>
      </c>
      <c r="N645" s="41" t="str">
        <f>VLOOKUP(Table1[[#This Row],[Tegevusala kood]],Table4[[Tegevusala kood]:[Tegevusala alanimetus]],2,FALSE)</f>
        <v>Roela kool</v>
      </c>
      <c r="O645" s="41" t="s">
        <v>1</v>
      </c>
      <c r="P645" s="41" t="s">
        <v>1</v>
      </c>
      <c r="Q645" s="41" t="str">
        <f>VLOOKUP(Table1[[#This Row],[Eelarvekonto]],Table5[[Konto]:[Kontode alanimetus]],5,FALSE)</f>
        <v>Tööjõukulud</v>
      </c>
      <c r="R645" s="42" t="str">
        <f>VLOOKUP(Table1[[#This Row],[Tegevusala kood]],Table4[[Tegevusala kood]:[Tegevusala alanimetus]],4,FALSE)</f>
        <v>Põhihariduse otsekulud</v>
      </c>
      <c r="S645" s="53"/>
      <c r="T645" s="53"/>
      <c r="U645" s="53">
        <f>Table1[[#This Row],[Summa]]+Table1[[#This Row],[I Muudatus]]+Table1[[#This Row],[II Muudatus]]</f>
        <v>8340</v>
      </c>
    </row>
    <row r="646" spans="1:21" ht="14.25" hidden="1" customHeight="1" x14ac:dyDescent="0.25">
      <c r="A646" s="41" t="s">
        <v>471</v>
      </c>
      <c r="B646" s="41">
        <v>3924</v>
      </c>
      <c r="C646" s="52">
        <v>5002</v>
      </c>
      <c r="D646" s="52" t="str">
        <f>LEFT(Table1[[#This Row],[Eelarvekonto]],2)</f>
        <v>50</v>
      </c>
      <c r="E646" s="41" t="str">
        <f>VLOOKUP(Table1[[#This Row],[Eelarvekonto]],Table5[[Konto]:[Konto nimetus]],2,FALSE)</f>
        <v>Töötajate töötasud</v>
      </c>
      <c r="F646" s="41" t="s">
        <v>139</v>
      </c>
      <c r="G646" s="41" t="s">
        <v>24</v>
      </c>
      <c r="J646" s="41" t="s">
        <v>264</v>
      </c>
      <c r="K646" s="41" t="s">
        <v>263</v>
      </c>
      <c r="L646" s="58" t="s">
        <v>266</v>
      </c>
      <c r="M646" s="58" t="str">
        <f>LEFT(Table1[[#This Row],[Tegevusala kood]],2)</f>
        <v>09</v>
      </c>
      <c r="N646" s="41" t="str">
        <f>VLOOKUP(Table1[[#This Row],[Tegevusala kood]],Table4[[Tegevusala kood]:[Tegevusala alanimetus]],2,FALSE)</f>
        <v>Roela kool</v>
      </c>
      <c r="O646" s="41" t="s">
        <v>1</v>
      </c>
      <c r="P646" s="41" t="s">
        <v>1</v>
      </c>
      <c r="Q646" s="41" t="str">
        <f>VLOOKUP(Table1[[#This Row],[Eelarvekonto]],Table5[[Konto]:[Kontode alanimetus]],5,FALSE)</f>
        <v>Tööjõukulud</v>
      </c>
      <c r="R646" s="42" t="str">
        <f>VLOOKUP(Table1[[#This Row],[Tegevusala kood]],Table4[[Tegevusala kood]:[Tegevusala alanimetus]],4,FALSE)</f>
        <v>Põhihariduse otsekulud</v>
      </c>
      <c r="S646" s="53"/>
      <c r="T646" s="67"/>
      <c r="U646" s="53">
        <f>Table1[[#This Row],[Summa]]+Table1[[#This Row],[I Muudatus]]+Table1[[#This Row],[II Muudatus]]</f>
        <v>3924</v>
      </c>
    </row>
    <row r="647" spans="1:21" ht="14.25" hidden="1" customHeight="1" x14ac:dyDescent="0.25">
      <c r="A647" s="41" t="s">
        <v>461</v>
      </c>
      <c r="B647" s="41">
        <v>11412</v>
      </c>
      <c r="C647" s="52">
        <v>5002</v>
      </c>
      <c r="D647" s="52" t="str">
        <f>LEFT(Table1[[#This Row],[Eelarvekonto]],2)</f>
        <v>50</v>
      </c>
      <c r="E647" s="41" t="str">
        <f>VLOOKUP(Table1[[#This Row],[Eelarvekonto]],Table5[[Konto]:[Konto nimetus]],2,FALSE)</f>
        <v>Töötajate töötasud</v>
      </c>
      <c r="F647" s="41" t="s">
        <v>139</v>
      </c>
      <c r="G647" s="41" t="s">
        <v>24</v>
      </c>
      <c r="J647" s="41" t="s">
        <v>264</v>
      </c>
      <c r="K647" s="41" t="s">
        <v>263</v>
      </c>
      <c r="L647" s="58" t="s">
        <v>266</v>
      </c>
      <c r="M647" s="58" t="str">
        <f>LEFT(Table1[[#This Row],[Tegevusala kood]],2)</f>
        <v>09</v>
      </c>
      <c r="N647" s="41" t="str">
        <f>VLOOKUP(Table1[[#This Row],[Tegevusala kood]],Table4[[Tegevusala kood]:[Tegevusala alanimetus]],2,FALSE)</f>
        <v>Roela kool</v>
      </c>
      <c r="O647" s="41" t="s">
        <v>1</v>
      </c>
      <c r="P647" s="41" t="s">
        <v>1</v>
      </c>
      <c r="Q647" s="41" t="str">
        <f>VLOOKUP(Table1[[#This Row],[Eelarvekonto]],Table5[[Konto]:[Kontode alanimetus]],5,FALSE)</f>
        <v>Tööjõukulud</v>
      </c>
      <c r="R647" s="42" t="str">
        <f>VLOOKUP(Table1[[#This Row],[Tegevusala kood]],Table4[[Tegevusala kood]:[Tegevusala alanimetus]],4,FALSE)</f>
        <v>Põhihariduse otsekulud</v>
      </c>
      <c r="S647" s="53"/>
      <c r="T647" s="53"/>
      <c r="U647" s="53">
        <f>Table1[[#This Row],[Summa]]+Table1[[#This Row],[I Muudatus]]+Table1[[#This Row],[II Muudatus]]</f>
        <v>11412</v>
      </c>
    </row>
    <row r="648" spans="1:21" ht="14.25" hidden="1" customHeight="1" x14ac:dyDescent="0.25">
      <c r="A648" s="41" t="s">
        <v>536</v>
      </c>
      <c r="B648" s="41">
        <v>2750</v>
      </c>
      <c r="C648" s="52">
        <v>5005</v>
      </c>
      <c r="D648" s="52" t="str">
        <f>LEFT(Table1[[#This Row],[Eelarvekonto]],2)</f>
        <v>50</v>
      </c>
      <c r="E648" s="41" t="str">
        <f>VLOOKUP(Table1[[#This Row],[Eelarvekonto]],Table5[[Konto]:[Konto nimetus]],2,FALSE)</f>
        <v>Töötasud võlaõiguslike lepingute alusel</v>
      </c>
      <c r="F648" s="41" t="s">
        <v>139</v>
      </c>
      <c r="G648" s="41" t="s">
        <v>24</v>
      </c>
      <c r="J648" s="41" t="s">
        <v>264</v>
      </c>
      <c r="K648" s="41" t="s">
        <v>263</v>
      </c>
      <c r="L648" s="58" t="s">
        <v>266</v>
      </c>
      <c r="M648" s="58" t="str">
        <f>LEFT(Table1[[#This Row],[Tegevusala kood]],2)</f>
        <v>09</v>
      </c>
      <c r="N648" s="41" t="str">
        <f>VLOOKUP(Table1[[#This Row],[Tegevusala kood]],Table4[[Tegevusala kood]:[Tegevusala alanimetus]],2,FALSE)</f>
        <v>Roela kool</v>
      </c>
      <c r="O648" s="41" t="s">
        <v>1</v>
      </c>
      <c r="P648" s="41" t="s">
        <v>1</v>
      </c>
      <c r="Q648" s="41" t="str">
        <f>VLOOKUP(Table1[[#This Row],[Eelarvekonto]],Table5[[Konto]:[Kontode alanimetus]],5,FALSE)</f>
        <v>Tööjõukulud</v>
      </c>
      <c r="R648" s="42" t="str">
        <f>VLOOKUP(Table1[[#This Row],[Tegevusala kood]],Table4[[Tegevusala kood]:[Tegevusala alanimetus]],4,FALSE)</f>
        <v>Põhihariduse otsekulud</v>
      </c>
      <c r="S648" s="53"/>
      <c r="T648" s="53"/>
      <c r="U648" s="53">
        <f>Table1[[#This Row],[Summa]]+Table1[[#This Row],[I Muudatus]]+Table1[[#This Row],[II Muudatus]]</f>
        <v>2750</v>
      </c>
    </row>
    <row r="649" spans="1:21" ht="14.25" hidden="1" customHeight="1" x14ac:dyDescent="0.25">
      <c r="A649" s="41" t="s">
        <v>543</v>
      </c>
      <c r="B649" s="41">
        <v>480</v>
      </c>
      <c r="C649" s="52">
        <v>5500</v>
      </c>
      <c r="D649" s="52" t="str">
        <f>LEFT(Table1[[#This Row],[Eelarvekonto]],2)</f>
        <v>55</v>
      </c>
      <c r="E649" s="41" t="str">
        <f>VLOOKUP(Table1[[#This Row],[Eelarvekonto]],Table5[[Konto]:[Konto nimetus]],2,FALSE)</f>
        <v>Administreerimiskulud</v>
      </c>
      <c r="F649" s="41" t="s">
        <v>139</v>
      </c>
      <c r="G649" s="41" t="s">
        <v>24</v>
      </c>
      <c r="J649" s="41" t="s">
        <v>264</v>
      </c>
      <c r="K649" s="41" t="s">
        <v>263</v>
      </c>
      <c r="L649" s="58" t="s">
        <v>266</v>
      </c>
      <c r="M649" s="58" t="str">
        <f>LEFT(Table1[[#This Row],[Tegevusala kood]],2)</f>
        <v>09</v>
      </c>
      <c r="N649" s="41" t="str">
        <f>VLOOKUP(Table1[[#This Row],[Tegevusala kood]],Table4[[Tegevusala kood]:[Tegevusala alanimetus]],2,FALSE)</f>
        <v>Roela kool</v>
      </c>
      <c r="O649" s="41" t="s">
        <v>1</v>
      </c>
      <c r="P649" s="41" t="s">
        <v>1</v>
      </c>
      <c r="Q649" s="41" t="str">
        <f>VLOOKUP(Table1[[#This Row],[Eelarvekonto]],Table5[[Konto]:[Kontode alanimetus]],5,FALSE)</f>
        <v>Majandamiskulud</v>
      </c>
      <c r="R649" s="42" t="str">
        <f>VLOOKUP(Table1[[#This Row],[Tegevusala kood]],Table4[[Tegevusala kood]:[Tegevusala alanimetus]],4,FALSE)</f>
        <v>Põhihariduse otsekulud</v>
      </c>
      <c r="S649" s="53"/>
      <c r="T649" s="53"/>
      <c r="U649" s="53">
        <f>Table1[[#This Row],[Summa]]+Table1[[#This Row],[I Muudatus]]+Table1[[#This Row],[II Muudatus]]</f>
        <v>480</v>
      </c>
    </row>
    <row r="650" spans="1:21" ht="14.25" hidden="1" customHeight="1" x14ac:dyDescent="0.25">
      <c r="A650" s="42" t="s">
        <v>1102</v>
      </c>
      <c r="B650" s="42">
        <v>100</v>
      </c>
      <c r="C650" s="53">
        <v>5500</v>
      </c>
      <c r="D650" s="53" t="str">
        <f>LEFT(Table1[[#This Row],[Eelarvekonto]],2)</f>
        <v>55</v>
      </c>
      <c r="E650" s="42" t="str">
        <f>VLOOKUP(Table1[[#This Row],[Eelarvekonto]],Table5[[Konto]:[Konto nimetus]],2,FALSE)</f>
        <v>Administreerimiskulud</v>
      </c>
      <c r="F650" s="42" t="s">
        <v>139</v>
      </c>
      <c r="G650" s="42" t="s">
        <v>24</v>
      </c>
      <c r="H650" s="42"/>
      <c r="I650" s="42"/>
      <c r="J650" s="42" t="s">
        <v>264</v>
      </c>
      <c r="K650" s="42" t="s">
        <v>263</v>
      </c>
      <c r="L650" s="81" t="s">
        <v>266</v>
      </c>
      <c r="M650" s="82" t="str">
        <f>LEFT(Table1[[#This Row],[Tegevusala kood]],2)</f>
        <v>09</v>
      </c>
      <c r="N650" s="53" t="str">
        <f>VLOOKUP(Table1[[#This Row],[Tegevusala kood]],Table4[[Tegevusala kood]:[Tegevusala alanimetus]],2,FALSE)</f>
        <v>Roela kool</v>
      </c>
      <c r="O650" s="42"/>
      <c r="P650" s="42"/>
      <c r="Q650" s="53" t="str">
        <f>VLOOKUP(Table1[[#This Row],[Eelarvekonto]],Table5[[Konto]:[Kontode alanimetus]],5,FALSE)</f>
        <v>Majandamiskulud</v>
      </c>
      <c r="R650" s="53" t="str">
        <f>VLOOKUP(Table1[[#This Row],[Tegevusala kood]],Table4[[Tegevusala kood]:[Tegevusala alanimetus]],4,FALSE)</f>
        <v>Põhihariduse otsekulud</v>
      </c>
      <c r="S650" s="53"/>
      <c r="T650" s="53"/>
      <c r="U650" s="53">
        <f>Table1[[#This Row],[Summa]]+Table1[[#This Row],[I Muudatus]]+Table1[[#This Row],[II Muudatus]]</f>
        <v>100</v>
      </c>
    </row>
    <row r="651" spans="1:21" ht="14.25" hidden="1" customHeight="1" x14ac:dyDescent="0.25">
      <c r="A651" s="42" t="s">
        <v>1365</v>
      </c>
      <c r="B651" s="42">
        <v>200</v>
      </c>
      <c r="C651" s="53">
        <v>5500</v>
      </c>
      <c r="D651" s="53" t="str">
        <f>LEFT(Table1[[#This Row],[Eelarvekonto]],2)</f>
        <v>55</v>
      </c>
      <c r="E651" s="42" t="str">
        <f>VLOOKUP(Table1[[#This Row],[Eelarvekonto]],Table5[[Konto]:[Konto nimetus]],2,FALSE)</f>
        <v>Administreerimiskulud</v>
      </c>
      <c r="F651" s="42" t="s">
        <v>139</v>
      </c>
      <c r="G651" s="42" t="s">
        <v>24</v>
      </c>
      <c r="H651" s="42"/>
      <c r="I651" s="42"/>
      <c r="J651" s="42" t="s">
        <v>264</v>
      </c>
      <c r="K651" s="42" t="s">
        <v>263</v>
      </c>
      <c r="L651" s="81" t="s">
        <v>266</v>
      </c>
      <c r="M651" s="82" t="str">
        <f>LEFT(Table1[[#This Row],[Tegevusala kood]],2)</f>
        <v>09</v>
      </c>
      <c r="N651" s="53" t="str">
        <f>VLOOKUP(Table1[[#This Row],[Tegevusala kood]],Table4[[Tegevusala kood]:[Tegevusala alanimetus]],2,FALSE)</f>
        <v>Roela kool</v>
      </c>
      <c r="O651" s="42"/>
      <c r="P651" s="42"/>
      <c r="Q651" s="53" t="str">
        <f>VLOOKUP(Table1[[#This Row],[Eelarvekonto]],Table5[[Konto]:[Kontode alanimetus]],5,FALSE)</f>
        <v>Majandamiskulud</v>
      </c>
      <c r="R651" s="53" t="str">
        <f>VLOOKUP(Table1[[#This Row],[Tegevusala kood]],Table4[[Tegevusala kood]:[Tegevusala alanimetus]],4,FALSE)</f>
        <v>Põhihariduse otsekulud</v>
      </c>
      <c r="S651" s="53"/>
      <c r="T651" s="53"/>
      <c r="U651" s="53">
        <f>Table1[[#This Row],[Summa]]+Table1[[#This Row],[I Muudatus]]+Table1[[#This Row],[II Muudatus]]</f>
        <v>200</v>
      </c>
    </row>
    <row r="652" spans="1:21" ht="14.25" hidden="1" customHeight="1" x14ac:dyDescent="0.25">
      <c r="A652" s="42" t="s">
        <v>267</v>
      </c>
      <c r="B652" s="42">
        <v>24</v>
      </c>
      <c r="C652" s="53">
        <v>5500</v>
      </c>
      <c r="D652" s="53" t="str">
        <f>LEFT(Table1[[#This Row],[Eelarvekonto]],2)</f>
        <v>55</v>
      </c>
      <c r="E652" s="42" t="str">
        <f>VLOOKUP(Table1[[#This Row],[Eelarvekonto]],Table5[[Konto]:[Konto nimetus]],2,FALSE)</f>
        <v>Administreerimiskulud</v>
      </c>
      <c r="F652" s="42" t="s">
        <v>139</v>
      </c>
      <c r="G652" s="42" t="s">
        <v>24</v>
      </c>
      <c r="H652" s="42"/>
      <c r="I652" s="42"/>
      <c r="J652" s="42" t="s">
        <v>264</v>
      </c>
      <c r="K652" s="42" t="s">
        <v>263</v>
      </c>
      <c r="L652" s="81" t="s">
        <v>266</v>
      </c>
      <c r="M652" s="82" t="str">
        <f>LEFT(Table1[[#This Row],[Tegevusala kood]],2)</f>
        <v>09</v>
      </c>
      <c r="N652" s="53" t="str">
        <f>VLOOKUP(Table1[[#This Row],[Tegevusala kood]],Table4[[Tegevusala kood]:[Tegevusala alanimetus]],2,FALSE)</f>
        <v>Roela kool</v>
      </c>
      <c r="O652" s="42"/>
      <c r="P652" s="42"/>
      <c r="Q652" s="53" t="str">
        <f>VLOOKUP(Table1[[#This Row],[Eelarvekonto]],Table5[[Konto]:[Kontode alanimetus]],5,FALSE)</f>
        <v>Majandamiskulud</v>
      </c>
      <c r="R652" s="53" t="str">
        <f>VLOOKUP(Table1[[#This Row],[Tegevusala kood]],Table4[[Tegevusala kood]:[Tegevusala alanimetus]],4,FALSE)</f>
        <v>Põhihariduse otsekulud</v>
      </c>
      <c r="S652" s="53"/>
      <c r="T652" s="53"/>
      <c r="U652" s="53">
        <f>Table1[[#This Row],[Summa]]+Table1[[#This Row],[I Muudatus]]+Table1[[#This Row],[II Muudatus]]</f>
        <v>24</v>
      </c>
    </row>
    <row r="653" spans="1:21" ht="14.25" hidden="1" customHeight="1" x14ac:dyDescent="0.25">
      <c r="A653" s="42" t="s">
        <v>1366</v>
      </c>
      <c r="B653" s="42">
        <v>100</v>
      </c>
      <c r="C653" s="53">
        <v>5500</v>
      </c>
      <c r="D653" s="53" t="str">
        <f>LEFT(Table1[[#This Row],[Eelarvekonto]],2)</f>
        <v>55</v>
      </c>
      <c r="E653" s="42" t="str">
        <f>VLOOKUP(Table1[[#This Row],[Eelarvekonto]],Table5[[Konto]:[Konto nimetus]],2,FALSE)</f>
        <v>Administreerimiskulud</v>
      </c>
      <c r="F653" s="42" t="s">
        <v>139</v>
      </c>
      <c r="G653" s="42" t="s">
        <v>24</v>
      </c>
      <c r="H653" s="42"/>
      <c r="I653" s="42"/>
      <c r="J653" s="42" t="s">
        <v>264</v>
      </c>
      <c r="K653" s="42" t="s">
        <v>263</v>
      </c>
      <c r="L653" s="81" t="s">
        <v>266</v>
      </c>
      <c r="M653" s="82" t="str">
        <f>LEFT(Table1[[#This Row],[Tegevusala kood]],2)</f>
        <v>09</v>
      </c>
      <c r="N653" s="53" t="str">
        <f>VLOOKUP(Table1[[#This Row],[Tegevusala kood]],Table4[[Tegevusala kood]:[Tegevusala alanimetus]],2,FALSE)</f>
        <v>Roela kool</v>
      </c>
      <c r="O653" s="42"/>
      <c r="P653" s="42"/>
      <c r="Q653" s="53" t="str">
        <f>VLOOKUP(Table1[[#This Row],[Eelarvekonto]],Table5[[Konto]:[Kontode alanimetus]],5,FALSE)</f>
        <v>Majandamiskulud</v>
      </c>
      <c r="R653" s="53" t="str">
        <f>VLOOKUP(Table1[[#This Row],[Tegevusala kood]],Table4[[Tegevusala kood]:[Tegevusala alanimetus]],4,FALSE)</f>
        <v>Põhihariduse otsekulud</v>
      </c>
      <c r="S653" s="53"/>
      <c r="T653" s="53"/>
      <c r="U653" s="53">
        <f>Table1[[#This Row],[Summa]]+Table1[[#This Row],[I Muudatus]]+Table1[[#This Row],[II Muudatus]]</f>
        <v>100</v>
      </c>
    </row>
    <row r="654" spans="1:21" ht="14.25" hidden="1" customHeight="1" x14ac:dyDescent="0.25">
      <c r="A654" s="42" t="s">
        <v>227</v>
      </c>
      <c r="B654" s="42">
        <v>3500</v>
      </c>
      <c r="C654" s="53">
        <v>5500</v>
      </c>
      <c r="D654" s="53" t="str">
        <f>LEFT(Table1[[#This Row],[Eelarvekonto]],2)</f>
        <v>55</v>
      </c>
      <c r="E654" s="42" t="str">
        <f>VLOOKUP(Table1[[#This Row],[Eelarvekonto]],Table5[[Konto]:[Konto nimetus]],2,FALSE)</f>
        <v>Administreerimiskulud</v>
      </c>
      <c r="F654" s="42" t="s">
        <v>139</v>
      </c>
      <c r="G654" s="42" t="s">
        <v>24</v>
      </c>
      <c r="H654" s="42"/>
      <c r="I654" s="42"/>
      <c r="J654" s="42" t="s">
        <v>264</v>
      </c>
      <c r="K654" s="42" t="s">
        <v>263</v>
      </c>
      <c r="L654" s="81" t="s">
        <v>266</v>
      </c>
      <c r="M654" s="82" t="str">
        <f>LEFT(Table1[[#This Row],[Tegevusala kood]],2)</f>
        <v>09</v>
      </c>
      <c r="N654" s="53" t="str">
        <f>VLOOKUP(Table1[[#This Row],[Tegevusala kood]],Table4[[Tegevusala kood]:[Tegevusala alanimetus]],2,FALSE)</f>
        <v>Roela kool</v>
      </c>
      <c r="O654" s="42"/>
      <c r="P654" s="42"/>
      <c r="Q654" s="53" t="str">
        <f>VLOOKUP(Table1[[#This Row],[Eelarvekonto]],Table5[[Konto]:[Kontode alanimetus]],5,FALSE)</f>
        <v>Majandamiskulud</v>
      </c>
      <c r="R654" s="53" t="str">
        <f>VLOOKUP(Table1[[#This Row],[Tegevusala kood]],Table4[[Tegevusala kood]:[Tegevusala alanimetus]],4,FALSE)</f>
        <v>Põhihariduse otsekulud</v>
      </c>
      <c r="S654" s="53"/>
      <c r="T654" s="53"/>
      <c r="U654" s="53">
        <f>Table1[[#This Row],[Summa]]+Table1[[#This Row],[I Muudatus]]+Table1[[#This Row],[II Muudatus]]</f>
        <v>3500</v>
      </c>
    </row>
    <row r="655" spans="1:21" ht="14.25" hidden="1" customHeight="1" x14ac:dyDescent="0.25">
      <c r="A655" s="42" t="s">
        <v>140</v>
      </c>
      <c r="B655" s="42">
        <v>1000</v>
      </c>
      <c r="C655" s="53">
        <v>5504</v>
      </c>
      <c r="D655" s="53" t="str">
        <f>LEFT(Table1[[#This Row],[Eelarvekonto]],2)</f>
        <v>55</v>
      </c>
      <c r="E655" s="42" t="str">
        <f>VLOOKUP(Table1[[#This Row],[Eelarvekonto]],Table5[[Konto]:[Konto nimetus]],2,FALSE)</f>
        <v>Koolituskulud (sh koolituslähetus)</v>
      </c>
      <c r="F655" s="42" t="s">
        <v>139</v>
      </c>
      <c r="G655" s="42" t="s">
        <v>24</v>
      </c>
      <c r="H655" s="42"/>
      <c r="I655" s="42"/>
      <c r="J655" s="42" t="s">
        <v>264</v>
      </c>
      <c r="K655" s="42" t="s">
        <v>263</v>
      </c>
      <c r="L655" s="81" t="s">
        <v>266</v>
      </c>
      <c r="M655" s="82" t="str">
        <f>LEFT(Table1[[#This Row],[Tegevusala kood]],2)</f>
        <v>09</v>
      </c>
      <c r="N655" s="53" t="str">
        <f>VLOOKUP(Table1[[#This Row],[Tegevusala kood]],Table4[[Tegevusala kood]:[Tegevusala alanimetus]],2,FALSE)</f>
        <v>Roela kool</v>
      </c>
      <c r="O655" s="42"/>
      <c r="P655" s="42"/>
      <c r="Q655" s="53" t="str">
        <f>VLOOKUP(Table1[[#This Row],[Eelarvekonto]],Table5[[Konto]:[Kontode alanimetus]],5,FALSE)</f>
        <v>Majandamiskulud</v>
      </c>
      <c r="R655" s="53" t="str">
        <f>VLOOKUP(Table1[[#This Row],[Tegevusala kood]],Table4[[Tegevusala kood]:[Tegevusala alanimetus]],4,FALSE)</f>
        <v>Põhihariduse otsekulud</v>
      </c>
      <c r="S655" s="53"/>
      <c r="T655" s="53"/>
      <c r="U655" s="53">
        <f>Table1[[#This Row],[Summa]]+Table1[[#This Row],[I Muudatus]]+Table1[[#This Row],[II Muudatus]]</f>
        <v>1000</v>
      </c>
    </row>
    <row r="656" spans="1:21" ht="14.25" hidden="1" customHeight="1" x14ac:dyDescent="0.25">
      <c r="A656" s="41" t="s">
        <v>542</v>
      </c>
      <c r="B656" s="41">
        <v>613.52</v>
      </c>
      <c r="C656" s="52">
        <v>5511</v>
      </c>
      <c r="D656" s="52" t="str">
        <f>LEFT(Table1[[#This Row],[Eelarvekonto]],2)</f>
        <v>55</v>
      </c>
      <c r="E656" s="41" t="str">
        <f>VLOOKUP(Table1[[#This Row],[Eelarvekonto]],Table5[[Konto]:[Konto nimetus]],2,FALSE)</f>
        <v>Kinnistute, hoonete ja ruumide majandamiskulud</v>
      </c>
      <c r="F656" s="41" t="s">
        <v>139</v>
      </c>
      <c r="G656" s="41" t="s">
        <v>24</v>
      </c>
      <c r="J656" s="41" t="s">
        <v>264</v>
      </c>
      <c r="K656" s="41" t="s">
        <v>263</v>
      </c>
      <c r="L656" s="58" t="s">
        <v>266</v>
      </c>
      <c r="M656" s="58" t="str">
        <f>LEFT(Table1[[#This Row],[Tegevusala kood]],2)</f>
        <v>09</v>
      </c>
      <c r="N656" s="41" t="str">
        <f>VLOOKUP(Table1[[#This Row],[Tegevusala kood]],Table4[[Tegevusala kood]:[Tegevusala alanimetus]],2,FALSE)</f>
        <v>Roela kool</v>
      </c>
      <c r="O656" s="41" t="s">
        <v>1</v>
      </c>
      <c r="P656" s="41" t="s">
        <v>1</v>
      </c>
      <c r="Q656" s="41" t="str">
        <f>VLOOKUP(Table1[[#This Row],[Eelarvekonto]],Table5[[Konto]:[Kontode alanimetus]],5,FALSE)</f>
        <v>Majandamiskulud</v>
      </c>
      <c r="R656" s="42" t="str">
        <f>VLOOKUP(Table1[[#This Row],[Tegevusala kood]],Table4[[Tegevusala kood]:[Tegevusala alanimetus]],4,FALSE)</f>
        <v>Põhihariduse otsekulud</v>
      </c>
      <c r="S656" s="53"/>
      <c r="T656" s="53"/>
      <c r="U656" s="53">
        <f>Table1[[#This Row],[Summa]]+Table1[[#This Row],[I Muudatus]]+Table1[[#This Row],[II Muudatus]]</f>
        <v>613.52</v>
      </c>
    </row>
    <row r="657" spans="1:21" ht="14.25" hidden="1" customHeight="1" x14ac:dyDescent="0.25">
      <c r="A657" s="41" t="s">
        <v>1134</v>
      </c>
      <c r="B657" s="41">
        <v>221.64</v>
      </c>
      <c r="C657" s="52">
        <v>5511</v>
      </c>
      <c r="D657" s="52" t="str">
        <f>LEFT(Table1[[#This Row],[Eelarvekonto]],2)</f>
        <v>55</v>
      </c>
      <c r="E657" s="41" t="str">
        <f>VLOOKUP(Table1[[#This Row],[Eelarvekonto]],Table5[[Konto]:[Konto nimetus]],2,FALSE)</f>
        <v>Kinnistute, hoonete ja ruumide majandamiskulud</v>
      </c>
      <c r="F657" s="41" t="s">
        <v>139</v>
      </c>
      <c r="G657" s="41" t="s">
        <v>24</v>
      </c>
      <c r="J657" s="41" t="s">
        <v>264</v>
      </c>
      <c r="K657" s="41" t="s">
        <v>263</v>
      </c>
      <c r="L657" s="58" t="s">
        <v>266</v>
      </c>
      <c r="M657" s="58" t="str">
        <f>LEFT(Table1[[#This Row],[Tegevusala kood]],2)</f>
        <v>09</v>
      </c>
      <c r="N657" s="41" t="str">
        <f>VLOOKUP(Table1[[#This Row],[Tegevusala kood]],Table4[[Tegevusala kood]:[Tegevusala alanimetus]],2,FALSE)</f>
        <v>Roela kool</v>
      </c>
      <c r="O657" s="41" t="s">
        <v>1</v>
      </c>
      <c r="P657" s="41" t="s">
        <v>1</v>
      </c>
      <c r="Q657" s="41" t="str">
        <f>VLOOKUP(Table1[[#This Row],[Eelarvekonto]],Table5[[Konto]:[Kontode alanimetus]],5,FALSE)</f>
        <v>Majandamiskulud</v>
      </c>
      <c r="R657" s="42" t="str">
        <f>VLOOKUP(Table1[[#This Row],[Tegevusala kood]],Table4[[Tegevusala kood]:[Tegevusala alanimetus]],4,FALSE)</f>
        <v>Põhihariduse otsekulud</v>
      </c>
      <c r="S657" s="53"/>
      <c r="T657" s="53"/>
      <c r="U657" s="53">
        <f>Table1[[#This Row],[Summa]]+Table1[[#This Row],[I Muudatus]]+Table1[[#This Row],[II Muudatus]]</f>
        <v>221.64</v>
      </c>
    </row>
    <row r="658" spans="1:21" ht="14.25" hidden="1" customHeight="1" x14ac:dyDescent="0.25">
      <c r="A658" s="41" t="s">
        <v>532</v>
      </c>
      <c r="B658" s="41">
        <v>97.36</v>
      </c>
      <c r="C658" s="52">
        <v>5511</v>
      </c>
      <c r="D658" s="52" t="str">
        <f>LEFT(Table1[[#This Row],[Eelarvekonto]],2)</f>
        <v>55</v>
      </c>
      <c r="E658" s="41" t="str">
        <f>VLOOKUP(Table1[[#This Row],[Eelarvekonto]],Table5[[Konto]:[Konto nimetus]],2,FALSE)</f>
        <v>Kinnistute, hoonete ja ruumide majandamiskulud</v>
      </c>
      <c r="F658" s="41" t="s">
        <v>139</v>
      </c>
      <c r="G658" s="41" t="s">
        <v>24</v>
      </c>
      <c r="J658" s="41" t="s">
        <v>264</v>
      </c>
      <c r="K658" s="41" t="s">
        <v>263</v>
      </c>
      <c r="L658" s="58" t="s">
        <v>266</v>
      </c>
      <c r="M658" s="58" t="str">
        <f>LEFT(Table1[[#This Row],[Tegevusala kood]],2)</f>
        <v>09</v>
      </c>
      <c r="N658" s="41" t="str">
        <f>VLOOKUP(Table1[[#This Row],[Tegevusala kood]],Table4[[Tegevusala kood]:[Tegevusala alanimetus]],2,FALSE)</f>
        <v>Roela kool</v>
      </c>
      <c r="O658" s="41" t="s">
        <v>1</v>
      </c>
      <c r="P658" s="41" t="s">
        <v>1</v>
      </c>
      <c r="Q658" s="41" t="str">
        <f>VLOOKUP(Table1[[#This Row],[Eelarvekonto]],Table5[[Konto]:[Kontode alanimetus]],5,FALSE)</f>
        <v>Majandamiskulud</v>
      </c>
      <c r="R658" s="42" t="str">
        <f>VLOOKUP(Table1[[#This Row],[Tegevusala kood]],Table4[[Tegevusala kood]:[Tegevusala alanimetus]],4,FALSE)</f>
        <v>Põhihariduse otsekulud</v>
      </c>
      <c r="S658" s="53"/>
      <c r="T658" s="53"/>
      <c r="U658" s="53">
        <f>Table1[[#This Row],[Summa]]+Table1[[#This Row],[I Muudatus]]+Table1[[#This Row],[II Muudatus]]</f>
        <v>97.36</v>
      </c>
    </row>
    <row r="659" spans="1:21" ht="14.25" hidden="1" customHeight="1" x14ac:dyDescent="0.25">
      <c r="A659" s="41" t="s">
        <v>531</v>
      </c>
      <c r="B659" s="41">
        <v>201.6</v>
      </c>
      <c r="C659" s="52">
        <v>5511</v>
      </c>
      <c r="D659" s="52" t="str">
        <f>LEFT(Table1[[#This Row],[Eelarvekonto]],2)</f>
        <v>55</v>
      </c>
      <c r="E659" s="41" t="str">
        <f>VLOOKUP(Table1[[#This Row],[Eelarvekonto]],Table5[[Konto]:[Konto nimetus]],2,FALSE)</f>
        <v>Kinnistute, hoonete ja ruumide majandamiskulud</v>
      </c>
      <c r="F659" s="41" t="s">
        <v>139</v>
      </c>
      <c r="G659" s="41" t="s">
        <v>24</v>
      </c>
      <c r="J659" s="41" t="s">
        <v>264</v>
      </c>
      <c r="K659" s="41" t="s">
        <v>263</v>
      </c>
      <c r="L659" s="58" t="s">
        <v>266</v>
      </c>
      <c r="M659" s="58" t="str">
        <f>LEFT(Table1[[#This Row],[Tegevusala kood]],2)</f>
        <v>09</v>
      </c>
      <c r="N659" s="41" t="str">
        <f>VLOOKUP(Table1[[#This Row],[Tegevusala kood]],Table4[[Tegevusala kood]:[Tegevusala alanimetus]],2,FALSE)</f>
        <v>Roela kool</v>
      </c>
      <c r="O659" s="41" t="s">
        <v>1</v>
      </c>
      <c r="P659" s="41" t="s">
        <v>1</v>
      </c>
      <c r="Q659" s="41" t="str">
        <f>VLOOKUP(Table1[[#This Row],[Eelarvekonto]],Table5[[Konto]:[Kontode alanimetus]],5,FALSE)</f>
        <v>Majandamiskulud</v>
      </c>
      <c r="R659" s="42" t="str">
        <f>VLOOKUP(Table1[[#This Row],[Tegevusala kood]],Table4[[Tegevusala kood]:[Tegevusala alanimetus]],4,FALSE)</f>
        <v>Põhihariduse otsekulud</v>
      </c>
      <c r="S659" s="53"/>
      <c r="T659" s="53"/>
      <c r="U659" s="53">
        <f>Table1[[#This Row],[Summa]]+Table1[[#This Row],[I Muudatus]]+Table1[[#This Row],[II Muudatus]]</f>
        <v>201.6</v>
      </c>
    </row>
    <row r="660" spans="1:21" ht="14.25" hidden="1" customHeight="1" x14ac:dyDescent="0.25">
      <c r="A660" s="41" t="s">
        <v>484</v>
      </c>
      <c r="B660" s="41">
        <v>379.68</v>
      </c>
      <c r="C660" s="52">
        <v>5511</v>
      </c>
      <c r="D660" s="52" t="str">
        <f>LEFT(Table1[[#This Row],[Eelarvekonto]],2)</f>
        <v>55</v>
      </c>
      <c r="E660" s="41" t="str">
        <f>VLOOKUP(Table1[[#This Row],[Eelarvekonto]],Table5[[Konto]:[Konto nimetus]],2,FALSE)</f>
        <v>Kinnistute, hoonete ja ruumide majandamiskulud</v>
      </c>
      <c r="F660" s="41" t="s">
        <v>139</v>
      </c>
      <c r="G660" s="41" t="s">
        <v>24</v>
      </c>
      <c r="J660" s="41" t="s">
        <v>264</v>
      </c>
      <c r="K660" s="41" t="s">
        <v>263</v>
      </c>
      <c r="L660" s="58" t="s">
        <v>266</v>
      </c>
      <c r="M660" s="58" t="str">
        <f>LEFT(Table1[[#This Row],[Tegevusala kood]],2)</f>
        <v>09</v>
      </c>
      <c r="N660" s="41" t="str">
        <f>VLOOKUP(Table1[[#This Row],[Tegevusala kood]],Table4[[Tegevusala kood]:[Tegevusala alanimetus]],2,FALSE)</f>
        <v>Roela kool</v>
      </c>
      <c r="O660" s="41" t="s">
        <v>1</v>
      </c>
      <c r="P660" s="41" t="s">
        <v>1</v>
      </c>
      <c r="Q660" s="41" t="str">
        <f>VLOOKUP(Table1[[#This Row],[Eelarvekonto]],Table5[[Konto]:[Kontode alanimetus]],5,FALSE)</f>
        <v>Majandamiskulud</v>
      </c>
      <c r="R660" s="42" t="str">
        <f>VLOOKUP(Table1[[#This Row],[Tegevusala kood]],Table4[[Tegevusala kood]:[Tegevusala alanimetus]],4,FALSE)</f>
        <v>Põhihariduse otsekulud</v>
      </c>
      <c r="S660" s="53"/>
      <c r="T660" s="53"/>
      <c r="U660" s="53">
        <f>Table1[[#This Row],[Summa]]+Table1[[#This Row],[I Muudatus]]+Table1[[#This Row],[II Muudatus]]</f>
        <v>379.68</v>
      </c>
    </row>
    <row r="661" spans="1:21" ht="14.25" hidden="1" customHeight="1" x14ac:dyDescent="0.25">
      <c r="A661" s="41" t="s">
        <v>1485</v>
      </c>
      <c r="B661" s="41">
        <v>605</v>
      </c>
      <c r="C661" s="52">
        <v>5511</v>
      </c>
      <c r="D661" s="52" t="str">
        <f>LEFT(Table1[[#This Row],[Eelarvekonto]],2)</f>
        <v>55</v>
      </c>
      <c r="E661" s="41" t="str">
        <f>VLOOKUP(Table1[[#This Row],[Eelarvekonto]],Table5[[Konto]:[Konto nimetus]],2,FALSE)</f>
        <v>Kinnistute, hoonete ja ruumide majandamiskulud</v>
      </c>
      <c r="F661" s="41" t="s">
        <v>139</v>
      </c>
      <c r="G661" s="41" t="s">
        <v>24</v>
      </c>
      <c r="J661" s="41" t="s">
        <v>264</v>
      </c>
      <c r="K661" s="41" t="s">
        <v>263</v>
      </c>
      <c r="L661" s="58" t="s">
        <v>266</v>
      </c>
      <c r="M661" s="58" t="str">
        <f>LEFT(Table1[[#This Row],[Tegevusala kood]],2)</f>
        <v>09</v>
      </c>
      <c r="N661" s="41" t="str">
        <f>VLOOKUP(Table1[[#This Row],[Tegevusala kood]],Table4[[Tegevusala kood]:[Tegevusala alanimetus]],2,FALSE)</f>
        <v>Roela kool</v>
      </c>
      <c r="O661" s="41" t="s">
        <v>1</v>
      </c>
      <c r="P661" s="41" t="s">
        <v>1</v>
      </c>
      <c r="Q661" s="41" t="str">
        <f>VLOOKUP(Table1[[#This Row],[Eelarvekonto]],Table5[[Konto]:[Kontode alanimetus]],5,FALSE)</f>
        <v>Majandamiskulud</v>
      </c>
      <c r="R661" s="42" t="str">
        <f>VLOOKUP(Table1[[#This Row],[Tegevusala kood]],Table4[[Tegevusala kood]:[Tegevusala alanimetus]],4,FALSE)</f>
        <v>Põhihariduse otsekulud</v>
      </c>
      <c r="S661" s="53"/>
      <c r="T661" s="53"/>
      <c r="U661" s="53">
        <f>Table1[[#This Row],[Summa]]+Table1[[#This Row],[I Muudatus]]+Table1[[#This Row],[II Muudatus]]</f>
        <v>605</v>
      </c>
    </row>
    <row r="662" spans="1:21" ht="14.25" hidden="1" customHeight="1" x14ac:dyDescent="0.25">
      <c r="A662" s="42" t="s">
        <v>1362</v>
      </c>
      <c r="B662" s="42">
        <v>1500</v>
      </c>
      <c r="C662" s="53">
        <v>5511</v>
      </c>
      <c r="D662" s="53" t="str">
        <f>LEFT(Table1[[#This Row],[Eelarvekonto]],2)</f>
        <v>55</v>
      </c>
      <c r="E662" s="42" t="str">
        <f>VLOOKUP(Table1[[#This Row],[Eelarvekonto]],Table5[[Konto]:[Konto nimetus]],2,FALSE)</f>
        <v>Kinnistute, hoonete ja ruumide majandamiskulud</v>
      </c>
      <c r="F662" s="42" t="s">
        <v>139</v>
      </c>
      <c r="G662" s="42" t="s">
        <v>24</v>
      </c>
      <c r="H662" s="42"/>
      <c r="I662" s="42"/>
      <c r="J662" s="42" t="s">
        <v>264</v>
      </c>
      <c r="K662" s="42" t="s">
        <v>263</v>
      </c>
      <c r="L662" s="81" t="s">
        <v>266</v>
      </c>
      <c r="M662" s="82" t="str">
        <f>LEFT(Table1[[#This Row],[Tegevusala kood]],2)</f>
        <v>09</v>
      </c>
      <c r="N662" s="53" t="str">
        <f>VLOOKUP(Table1[[#This Row],[Tegevusala kood]],Table4[[Tegevusala kood]:[Tegevusala alanimetus]],2,FALSE)</f>
        <v>Roela kool</v>
      </c>
      <c r="O662" s="42"/>
      <c r="P662" s="42"/>
      <c r="Q662" s="53" t="str">
        <f>VLOOKUP(Table1[[#This Row],[Eelarvekonto]],Table5[[Konto]:[Kontode alanimetus]],5,FALSE)</f>
        <v>Majandamiskulud</v>
      </c>
      <c r="R662" s="53" t="str">
        <f>VLOOKUP(Table1[[#This Row],[Tegevusala kood]],Table4[[Tegevusala kood]:[Tegevusala alanimetus]],4,FALSE)</f>
        <v>Põhihariduse otsekulud</v>
      </c>
      <c r="S662" s="53"/>
      <c r="T662" s="53"/>
      <c r="U662" s="53">
        <f>Table1[[#This Row],[Summa]]+Table1[[#This Row],[I Muudatus]]+Table1[[#This Row],[II Muudatus]]</f>
        <v>1500</v>
      </c>
    </row>
    <row r="663" spans="1:21" ht="14.25" hidden="1" customHeight="1" x14ac:dyDescent="0.25">
      <c r="A663" s="42" t="s">
        <v>1363</v>
      </c>
      <c r="B663" s="42">
        <v>120</v>
      </c>
      <c r="C663" s="53">
        <v>5511</v>
      </c>
      <c r="D663" s="53" t="str">
        <f>LEFT(Table1[[#This Row],[Eelarvekonto]],2)</f>
        <v>55</v>
      </c>
      <c r="E663" s="42" t="str">
        <f>VLOOKUP(Table1[[#This Row],[Eelarvekonto]],Table5[[Konto]:[Konto nimetus]],2,FALSE)</f>
        <v>Kinnistute, hoonete ja ruumide majandamiskulud</v>
      </c>
      <c r="F663" s="42" t="s">
        <v>139</v>
      </c>
      <c r="G663" s="42" t="s">
        <v>24</v>
      </c>
      <c r="H663" s="42"/>
      <c r="I663" s="42"/>
      <c r="J663" s="42" t="s">
        <v>264</v>
      </c>
      <c r="K663" s="42" t="s">
        <v>263</v>
      </c>
      <c r="L663" s="81" t="s">
        <v>266</v>
      </c>
      <c r="M663" s="82" t="str">
        <f>LEFT(Table1[[#This Row],[Tegevusala kood]],2)</f>
        <v>09</v>
      </c>
      <c r="N663" s="53" t="str">
        <f>VLOOKUP(Table1[[#This Row],[Tegevusala kood]],Table4[[Tegevusala kood]:[Tegevusala alanimetus]],2,FALSE)</f>
        <v>Roela kool</v>
      </c>
      <c r="O663" s="42"/>
      <c r="P663" s="42"/>
      <c r="Q663" s="53" t="str">
        <f>VLOOKUP(Table1[[#This Row],[Eelarvekonto]],Table5[[Konto]:[Kontode alanimetus]],5,FALSE)</f>
        <v>Majandamiskulud</v>
      </c>
      <c r="R663" s="53" t="str">
        <f>VLOOKUP(Table1[[#This Row],[Tegevusala kood]],Table4[[Tegevusala kood]:[Tegevusala alanimetus]],4,FALSE)</f>
        <v>Põhihariduse otsekulud</v>
      </c>
      <c r="S663" s="53"/>
      <c r="T663" s="53"/>
      <c r="U663" s="53">
        <f>Table1[[#This Row],[Summa]]+Table1[[#This Row],[I Muudatus]]+Table1[[#This Row],[II Muudatus]]</f>
        <v>120</v>
      </c>
    </row>
    <row r="664" spans="1:21" ht="14.25" hidden="1" customHeight="1" x14ac:dyDescent="0.25">
      <c r="A664" s="42" t="s">
        <v>270</v>
      </c>
      <c r="B664" s="42">
        <v>120</v>
      </c>
      <c r="C664" s="53">
        <v>5511</v>
      </c>
      <c r="D664" s="53" t="str">
        <f>LEFT(Table1[[#This Row],[Eelarvekonto]],2)</f>
        <v>55</v>
      </c>
      <c r="E664" s="42" t="str">
        <f>VLOOKUP(Table1[[#This Row],[Eelarvekonto]],Table5[[Konto]:[Konto nimetus]],2,FALSE)</f>
        <v>Kinnistute, hoonete ja ruumide majandamiskulud</v>
      </c>
      <c r="F664" s="42" t="s">
        <v>139</v>
      </c>
      <c r="G664" s="42" t="s">
        <v>24</v>
      </c>
      <c r="H664" s="42"/>
      <c r="I664" s="42"/>
      <c r="J664" s="42" t="s">
        <v>264</v>
      </c>
      <c r="K664" s="42" t="s">
        <v>263</v>
      </c>
      <c r="L664" s="81" t="s">
        <v>266</v>
      </c>
      <c r="M664" s="82" t="str">
        <f>LEFT(Table1[[#This Row],[Tegevusala kood]],2)</f>
        <v>09</v>
      </c>
      <c r="N664" s="53" t="str">
        <f>VLOOKUP(Table1[[#This Row],[Tegevusala kood]],Table4[[Tegevusala kood]:[Tegevusala alanimetus]],2,FALSE)</f>
        <v>Roela kool</v>
      </c>
      <c r="O664" s="42"/>
      <c r="P664" s="42"/>
      <c r="Q664" s="53" t="str">
        <f>VLOOKUP(Table1[[#This Row],[Eelarvekonto]],Table5[[Konto]:[Kontode alanimetus]],5,FALSE)</f>
        <v>Majandamiskulud</v>
      </c>
      <c r="R664" s="53" t="str">
        <f>VLOOKUP(Table1[[#This Row],[Tegevusala kood]],Table4[[Tegevusala kood]:[Tegevusala alanimetus]],4,FALSE)</f>
        <v>Põhihariduse otsekulud</v>
      </c>
      <c r="S664" s="53"/>
      <c r="T664" s="53"/>
      <c r="U664" s="53">
        <f>Table1[[#This Row],[Summa]]+Table1[[#This Row],[I Muudatus]]+Table1[[#This Row],[II Muudatus]]</f>
        <v>120</v>
      </c>
    </row>
    <row r="665" spans="1:21" ht="14.25" hidden="1" customHeight="1" x14ac:dyDescent="0.25">
      <c r="A665" s="42" t="s">
        <v>269</v>
      </c>
      <c r="B665" s="42">
        <v>450</v>
      </c>
      <c r="C665" s="53">
        <v>5511</v>
      </c>
      <c r="D665" s="53" t="str">
        <f>LEFT(Table1[[#This Row],[Eelarvekonto]],2)</f>
        <v>55</v>
      </c>
      <c r="E665" s="42" t="str">
        <f>VLOOKUP(Table1[[#This Row],[Eelarvekonto]],Table5[[Konto]:[Konto nimetus]],2,FALSE)</f>
        <v>Kinnistute, hoonete ja ruumide majandamiskulud</v>
      </c>
      <c r="F665" s="42" t="s">
        <v>139</v>
      </c>
      <c r="G665" s="42" t="s">
        <v>24</v>
      </c>
      <c r="H665" s="42"/>
      <c r="I665" s="42"/>
      <c r="J665" s="42" t="s">
        <v>264</v>
      </c>
      <c r="K665" s="42" t="s">
        <v>263</v>
      </c>
      <c r="L665" s="81" t="s">
        <v>266</v>
      </c>
      <c r="M665" s="82" t="str">
        <f>LEFT(Table1[[#This Row],[Tegevusala kood]],2)</f>
        <v>09</v>
      </c>
      <c r="N665" s="53" t="str">
        <f>VLOOKUP(Table1[[#This Row],[Tegevusala kood]],Table4[[Tegevusala kood]:[Tegevusala alanimetus]],2,FALSE)</f>
        <v>Roela kool</v>
      </c>
      <c r="O665" s="42"/>
      <c r="P665" s="42"/>
      <c r="Q665" s="53" t="str">
        <f>VLOOKUP(Table1[[#This Row],[Eelarvekonto]],Table5[[Konto]:[Kontode alanimetus]],5,FALSE)</f>
        <v>Majandamiskulud</v>
      </c>
      <c r="R665" s="53" t="str">
        <f>VLOOKUP(Table1[[#This Row],[Tegevusala kood]],Table4[[Tegevusala kood]:[Tegevusala alanimetus]],4,FALSE)</f>
        <v>Põhihariduse otsekulud</v>
      </c>
      <c r="S665" s="53"/>
      <c r="T665" s="53"/>
      <c r="U665" s="53">
        <f>Table1[[#This Row],[Summa]]+Table1[[#This Row],[I Muudatus]]+Table1[[#This Row],[II Muudatus]]</f>
        <v>450</v>
      </c>
    </row>
    <row r="666" spans="1:21" ht="14.25" hidden="1" customHeight="1" x14ac:dyDescent="0.25">
      <c r="A666" s="41" t="s">
        <v>615</v>
      </c>
      <c r="B666" s="41">
        <v>2200</v>
      </c>
      <c r="C666" s="52">
        <v>5513081</v>
      </c>
      <c r="D666" s="52" t="str">
        <f>LEFT(Table1[[#This Row],[Eelarvekonto]],2)</f>
        <v>55</v>
      </c>
      <c r="E666" s="41" t="str">
        <f>VLOOKUP(Table1[[#This Row],[Eelarvekonto]],Table5[[Konto]:[Konto nimetus]],2,FALSE)</f>
        <v>Isikliku sõiduauto kompensatsioon</v>
      </c>
      <c r="F666" s="41" t="s">
        <v>139</v>
      </c>
      <c r="G666" s="41" t="s">
        <v>24</v>
      </c>
      <c r="J666" s="41" t="s">
        <v>342</v>
      </c>
      <c r="K666" s="41" t="s">
        <v>341</v>
      </c>
      <c r="L666" s="58" t="s">
        <v>344</v>
      </c>
      <c r="M666" s="58" t="str">
        <f>LEFT(Table1[[#This Row],[Tegevusala kood]],2)</f>
        <v>09</v>
      </c>
      <c r="N666" s="41" t="str">
        <f>VLOOKUP(Table1[[#This Row],[Tegevusala kood]],Table4[[Tegevusala kood]:[Tegevusala alanimetus]],2,FALSE)</f>
        <v>Haldus</v>
      </c>
      <c r="O666" s="41" t="s">
        <v>1</v>
      </c>
      <c r="P666" s="41" t="s">
        <v>1</v>
      </c>
      <c r="Q666" s="41" t="str">
        <f>VLOOKUP(Table1[[#This Row],[Eelarvekonto]],Table5[[Konto]:[Kontode alanimetus]],5,FALSE)</f>
        <v>Majandamiskulud</v>
      </c>
      <c r="R666" s="42" t="str">
        <f>VLOOKUP(Table1[[#This Row],[Tegevusala kood]],Table4[[Tegevusala kood]:[Tegevusala alanimetus]],4,FALSE)</f>
        <v>Muu haridus, sh hariduse haldus</v>
      </c>
      <c r="S666" s="53"/>
      <c r="T666" s="53"/>
      <c r="U666" s="53">
        <f>Table1[[#This Row],[Summa]]+Table1[[#This Row],[I Muudatus]]+Table1[[#This Row],[II Muudatus]]</f>
        <v>2200</v>
      </c>
    </row>
    <row r="667" spans="1:21" ht="14.25" hidden="1" customHeight="1" x14ac:dyDescent="0.25">
      <c r="A667" s="41" t="s">
        <v>158</v>
      </c>
      <c r="B667" s="41">
        <v>19266</v>
      </c>
      <c r="C667" s="52">
        <v>506</v>
      </c>
      <c r="D667" s="52" t="str">
        <f>LEFT(Table1[[#This Row],[Eelarvekonto]],2)</f>
        <v>50</v>
      </c>
      <c r="E667" s="41" t="str">
        <f>VLOOKUP(Table1[[#This Row],[Eelarvekonto]],Table5[[Konto]:[Konto nimetus]],2,FALSE)</f>
        <v>Tööjõukuludega kaasnevad maksud ja sotsiaalkindlustusmaksed</v>
      </c>
      <c r="F667" s="41" t="s">
        <v>139</v>
      </c>
      <c r="G667" s="41" t="s">
        <v>24</v>
      </c>
      <c r="J667" s="41" t="s">
        <v>342</v>
      </c>
      <c r="K667" s="41" t="s">
        <v>341</v>
      </c>
      <c r="L667" s="58" t="s">
        <v>344</v>
      </c>
      <c r="M667" s="58" t="str">
        <f>LEFT(Table1[[#This Row],[Tegevusala kood]],2)</f>
        <v>09</v>
      </c>
      <c r="N667" s="41" t="str">
        <f>VLOOKUP(Table1[[#This Row],[Tegevusala kood]],Table4[[Tegevusala kood]:[Tegevusala alanimetus]],2,FALSE)</f>
        <v>Haldus</v>
      </c>
      <c r="O667" s="41" t="s">
        <v>1</v>
      </c>
      <c r="P667" s="41" t="s">
        <v>1</v>
      </c>
      <c r="Q667" s="41" t="str">
        <f>VLOOKUP(Table1[[#This Row],[Eelarvekonto]],Table5[[Konto]:[Kontode alanimetus]],5,FALSE)</f>
        <v>Tööjõukulud</v>
      </c>
      <c r="R667" s="42" t="str">
        <f>VLOOKUP(Table1[[#This Row],[Tegevusala kood]],Table4[[Tegevusala kood]:[Tegevusala alanimetus]],4,FALSE)</f>
        <v>Muu haridus, sh hariduse haldus</v>
      </c>
      <c r="S667" s="53"/>
      <c r="T667" s="53"/>
      <c r="U667" s="53">
        <f>Table1[[#This Row],[Summa]]+Table1[[#This Row],[I Muudatus]]+Table1[[#This Row],[II Muudatus]]</f>
        <v>19266</v>
      </c>
    </row>
    <row r="668" spans="1:21" ht="14.25" hidden="1" customHeight="1" x14ac:dyDescent="0.25">
      <c r="A668" s="41" t="s">
        <v>614</v>
      </c>
      <c r="B668" s="41">
        <v>18000</v>
      </c>
      <c r="C668" s="52">
        <v>5002</v>
      </c>
      <c r="D668" s="52" t="str">
        <f>LEFT(Table1[[#This Row],[Eelarvekonto]],2)</f>
        <v>50</v>
      </c>
      <c r="E668" s="41" t="str">
        <f>VLOOKUP(Table1[[#This Row],[Eelarvekonto]],Table5[[Konto]:[Konto nimetus]],2,FALSE)</f>
        <v>Töötajate töötasud</v>
      </c>
      <c r="F668" s="41" t="s">
        <v>139</v>
      </c>
      <c r="G668" s="41" t="s">
        <v>24</v>
      </c>
      <c r="J668" s="41" t="s">
        <v>342</v>
      </c>
      <c r="K668" s="41" t="s">
        <v>341</v>
      </c>
      <c r="L668" s="58" t="s">
        <v>344</v>
      </c>
      <c r="M668" s="58" t="str">
        <f>LEFT(Table1[[#This Row],[Tegevusala kood]],2)</f>
        <v>09</v>
      </c>
      <c r="N668" s="41" t="str">
        <f>VLOOKUP(Table1[[#This Row],[Tegevusala kood]],Table4[[Tegevusala kood]:[Tegevusala alanimetus]],2,FALSE)</f>
        <v>Haldus</v>
      </c>
      <c r="O668" s="41" t="s">
        <v>1</v>
      </c>
      <c r="P668" s="41" t="s">
        <v>1</v>
      </c>
      <c r="Q668" s="41" t="str">
        <f>VLOOKUP(Table1[[#This Row],[Eelarvekonto]],Table5[[Konto]:[Kontode alanimetus]],5,FALSE)</f>
        <v>Tööjõukulud</v>
      </c>
      <c r="R668" s="42" t="str">
        <f>VLOOKUP(Table1[[#This Row],[Tegevusala kood]],Table4[[Tegevusala kood]:[Tegevusala alanimetus]],4,FALSE)</f>
        <v>Muu haridus, sh hariduse haldus</v>
      </c>
      <c r="S668" s="60"/>
      <c r="T668" s="53"/>
      <c r="U668" s="53">
        <f>Table1[[#This Row],[Summa]]+Table1[[#This Row],[I Muudatus]]+Table1[[#This Row],[II Muudatus]]</f>
        <v>18000</v>
      </c>
    </row>
    <row r="669" spans="1:21" ht="14.25" hidden="1" customHeight="1" x14ac:dyDescent="0.25">
      <c r="A669" s="41" t="s">
        <v>613</v>
      </c>
      <c r="B669" s="41">
        <v>21000</v>
      </c>
      <c r="C669" s="52">
        <v>5001</v>
      </c>
      <c r="D669" s="52" t="str">
        <f>LEFT(Table1[[#This Row],[Eelarvekonto]],2)</f>
        <v>50</v>
      </c>
      <c r="E669" s="41" t="str">
        <f>VLOOKUP(Table1[[#This Row],[Eelarvekonto]],Table5[[Konto]:[Konto nimetus]],2,FALSE)</f>
        <v xml:space="preserve"> Avaliku teenistuse ametnike töötasu</v>
      </c>
      <c r="F669" s="41" t="s">
        <v>139</v>
      </c>
      <c r="G669" s="41" t="s">
        <v>24</v>
      </c>
      <c r="J669" s="41" t="s">
        <v>342</v>
      </c>
      <c r="K669" s="41" t="s">
        <v>341</v>
      </c>
      <c r="L669" s="58" t="s">
        <v>344</v>
      </c>
      <c r="M669" s="58" t="str">
        <f>LEFT(Table1[[#This Row],[Tegevusala kood]],2)</f>
        <v>09</v>
      </c>
      <c r="N669" s="41" t="str">
        <f>VLOOKUP(Table1[[#This Row],[Tegevusala kood]],Table4[[Tegevusala kood]:[Tegevusala alanimetus]],2,FALSE)</f>
        <v>Haldus</v>
      </c>
      <c r="O669" s="41" t="s">
        <v>1</v>
      </c>
      <c r="P669" s="41" t="s">
        <v>1</v>
      </c>
      <c r="Q669" s="41" t="str">
        <f>VLOOKUP(Table1[[#This Row],[Eelarvekonto]],Table5[[Konto]:[Kontode alanimetus]],5,FALSE)</f>
        <v>Tööjõukulud</v>
      </c>
      <c r="R669" s="42" t="str">
        <f>VLOOKUP(Table1[[#This Row],[Tegevusala kood]],Table4[[Tegevusala kood]:[Tegevusala alanimetus]],4,FALSE)</f>
        <v>Muu haridus, sh hariduse haldus</v>
      </c>
      <c r="S669" s="53"/>
      <c r="T669" s="53"/>
      <c r="U669" s="53">
        <f>Table1[[#This Row],[Summa]]+Table1[[#This Row],[I Muudatus]]+Table1[[#This Row],[II Muudatus]]</f>
        <v>21000</v>
      </c>
    </row>
    <row r="670" spans="1:21" ht="14.25" hidden="1" customHeight="1" x14ac:dyDescent="0.25">
      <c r="A670" s="41" t="s">
        <v>612</v>
      </c>
      <c r="B670" s="41">
        <v>18000</v>
      </c>
      <c r="C670" s="52">
        <v>5002</v>
      </c>
      <c r="D670" s="52" t="str">
        <f>LEFT(Table1[[#This Row],[Eelarvekonto]],2)</f>
        <v>50</v>
      </c>
      <c r="E670" s="41" t="str">
        <f>VLOOKUP(Table1[[#This Row],[Eelarvekonto]],Table5[[Konto]:[Konto nimetus]],2,FALSE)</f>
        <v>Töötajate töötasud</v>
      </c>
      <c r="F670" s="41" t="s">
        <v>139</v>
      </c>
      <c r="G670" s="41" t="s">
        <v>24</v>
      </c>
      <c r="J670" s="41" t="s">
        <v>342</v>
      </c>
      <c r="K670" s="41" t="s">
        <v>341</v>
      </c>
      <c r="L670" s="58" t="s">
        <v>344</v>
      </c>
      <c r="M670" s="58" t="str">
        <f>LEFT(Table1[[#This Row],[Tegevusala kood]],2)</f>
        <v>09</v>
      </c>
      <c r="N670" s="41" t="str">
        <f>VLOOKUP(Table1[[#This Row],[Tegevusala kood]],Table4[[Tegevusala kood]:[Tegevusala alanimetus]],2,FALSE)</f>
        <v>Haldus</v>
      </c>
      <c r="O670" s="41" t="s">
        <v>1</v>
      </c>
      <c r="P670" s="41" t="s">
        <v>1</v>
      </c>
      <c r="Q670" s="41" t="str">
        <f>VLOOKUP(Table1[[#This Row],[Eelarvekonto]],Table5[[Konto]:[Kontode alanimetus]],5,FALSE)</f>
        <v>Tööjõukulud</v>
      </c>
      <c r="R670" s="42" t="str">
        <f>VLOOKUP(Table1[[#This Row],[Tegevusala kood]],Table4[[Tegevusala kood]:[Tegevusala alanimetus]],4,FALSE)</f>
        <v>Muu haridus, sh hariduse haldus</v>
      </c>
      <c r="S670" s="53"/>
      <c r="T670" s="53"/>
      <c r="U670" s="53">
        <f>Table1[[#This Row],[Summa]]+Table1[[#This Row],[I Muudatus]]+Table1[[#This Row],[II Muudatus]]</f>
        <v>18000</v>
      </c>
    </row>
    <row r="671" spans="1:21" ht="14.25" hidden="1" customHeight="1" x14ac:dyDescent="0.25">
      <c r="A671" s="41" t="s">
        <v>611</v>
      </c>
      <c r="B671" s="41">
        <v>1650</v>
      </c>
      <c r="C671" s="52">
        <v>5513081</v>
      </c>
      <c r="D671" s="52" t="str">
        <f>LEFT(Table1[[#This Row],[Eelarvekonto]],2)</f>
        <v>55</v>
      </c>
      <c r="E671" s="41" t="str">
        <f>VLOOKUP(Table1[[#This Row],[Eelarvekonto]],Table5[[Konto]:[Konto nimetus]],2,FALSE)</f>
        <v>Isikliku sõiduauto kompensatsioon</v>
      </c>
      <c r="F671" s="41" t="s">
        <v>139</v>
      </c>
      <c r="G671" s="41" t="s">
        <v>24</v>
      </c>
      <c r="J671" s="41" t="s">
        <v>342</v>
      </c>
      <c r="K671" s="41" t="s">
        <v>341</v>
      </c>
      <c r="L671" s="58" t="s">
        <v>344</v>
      </c>
      <c r="M671" s="58" t="str">
        <f>LEFT(Table1[[#This Row],[Tegevusala kood]],2)</f>
        <v>09</v>
      </c>
      <c r="N671" s="41" t="str">
        <f>VLOOKUP(Table1[[#This Row],[Tegevusala kood]],Table4[[Tegevusala kood]:[Tegevusala alanimetus]],2,FALSE)</f>
        <v>Haldus</v>
      </c>
      <c r="O671" s="41" t="s">
        <v>1</v>
      </c>
      <c r="P671" s="41" t="s">
        <v>1</v>
      </c>
      <c r="Q671" s="41" t="str">
        <f>VLOOKUP(Table1[[#This Row],[Eelarvekonto]],Table5[[Konto]:[Kontode alanimetus]],5,FALSE)</f>
        <v>Majandamiskulud</v>
      </c>
      <c r="R671" s="42" t="str">
        <f>VLOOKUP(Table1[[#This Row],[Tegevusala kood]],Table4[[Tegevusala kood]:[Tegevusala alanimetus]],4,FALSE)</f>
        <v>Muu haridus, sh hariduse haldus</v>
      </c>
      <c r="S671" s="60"/>
      <c r="T671" s="53"/>
      <c r="U671" s="53">
        <f>Table1[[#This Row],[Summa]]+Table1[[#This Row],[I Muudatus]]+Table1[[#This Row],[II Muudatus]]</f>
        <v>1650</v>
      </c>
    </row>
    <row r="672" spans="1:21" ht="14.25" hidden="1" customHeight="1" x14ac:dyDescent="0.25">
      <c r="A672" s="41" t="s">
        <v>610</v>
      </c>
      <c r="B672" s="41">
        <v>1650</v>
      </c>
      <c r="C672" s="52">
        <v>5513081</v>
      </c>
      <c r="D672" s="52" t="str">
        <f>LEFT(Table1[[#This Row],[Eelarvekonto]],2)</f>
        <v>55</v>
      </c>
      <c r="E672" s="41" t="str">
        <f>VLOOKUP(Table1[[#This Row],[Eelarvekonto]],Table5[[Konto]:[Konto nimetus]],2,FALSE)</f>
        <v>Isikliku sõiduauto kompensatsioon</v>
      </c>
      <c r="F672" s="41" t="s">
        <v>139</v>
      </c>
      <c r="G672" s="41" t="s">
        <v>24</v>
      </c>
      <c r="J672" s="41" t="s">
        <v>342</v>
      </c>
      <c r="K672" s="41" t="s">
        <v>341</v>
      </c>
      <c r="L672" s="58" t="s">
        <v>344</v>
      </c>
      <c r="M672" s="58" t="str">
        <f>LEFT(Table1[[#This Row],[Tegevusala kood]],2)</f>
        <v>09</v>
      </c>
      <c r="N672" s="41" t="str">
        <f>VLOOKUP(Table1[[#This Row],[Tegevusala kood]],Table4[[Tegevusala kood]:[Tegevusala alanimetus]],2,FALSE)</f>
        <v>Haldus</v>
      </c>
      <c r="O672" s="41" t="s">
        <v>1</v>
      </c>
      <c r="P672" s="41" t="s">
        <v>1</v>
      </c>
      <c r="Q672" s="41" t="str">
        <f>VLOOKUP(Table1[[#This Row],[Eelarvekonto]],Table5[[Konto]:[Kontode alanimetus]],5,FALSE)</f>
        <v>Majandamiskulud</v>
      </c>
      <c r="R672" s="42" t="str">
        <f>VLOOKUP(Table1[[#This Row],[Tegevusala kood]],Table4[[Tegevusala kood]:[Tegevusala alanimetus]],4,FALSE)</f>
        <v>Muu haridus, sh hariduse haldus</v>
      </c>
      <c r="S672" s="60"/>
      <c r="T672" s="53"/>
      <c r="U672" s="53">
        <f>Table1[[#This Row],[Summa]]+Table1[[#This Row],[I Muudatus]]+Table1[[#This Row],[II Muudatus]]</f>
        <v>1650</v>
      </c>
    </row>
    <row r="673" spans="1:21" ht="14.25" hidden="1" customHeight="1" x14ac:dyDescent="0.25">
      <c r="A673" s="41" t="s">
        <v>1135</v>
      </c>
      <c r="B673" s="41">
        <v>2500</v>
      </c>
      <c r="C673" s="52">
        <v>5511</v>
      </c>
      <c r="D673" s="52" t="str">
        <f>LEFT(Table1[[#This Row],[Eelarvekonto]],2)</f>
        <v>55</v>
      </c>
      <c r="E673" s="41" t="str">
        <f>VLOOKUP(Table1[[#This Row],[Eelarvekonto]],Table5[[Konto]:[Konto nimetus]],2,FALSE)</f>
        <v>Kinnistute, hoonete ja ruumide majandamiskulud</v>
      </c>
      <c r="F673" s="41" t="s">
        <v>139</v>
      </c>
      <c r="G673" s="41" t="s">
        <v>24</v>
      </c>
      <c r="J673" s="41" t="s">
        <v>311</v>
      </c>
      <c r="K673" s="41" t="s">
        <v>81</v>
      </c>
      <c r="L673" s="58" t="s">
        <v>310</v>
      </c>
      <c r="M673" s="58" t="str">
        <f>LEFT(Table1[[#This Row],[Tegevusala kood]],2)</f>
        <v>06</v>
      </c>
      <c r="N673" s="41" t="str">
        <f>VLOOKUP(Table1[[#This Row],[Tegevusala kood]],Table4[[Tegevusala kood]:[Tegevusala alanimetus]],2,FALSE)</f>
        <v>Ulvi, Vinni-Pajusti teeninduspiirkond</v>
      </c>
      <c r="O673" s="41" t="s">
        <v>1</v>
      </c>
      <c r="P673" s="41" t="s">
        <v>1</v>
      </c>
      <c r="Q673" s="41" t="str">
        <f>VLOOKUP(Table1[[#This Row],[Eelarvekonto]],Table5[[Konto]:[Kontode alanimetus]],5,FALSE)</f>
        <v>Majandamiskulud</v>
      </c>
      <c r="R673" s="42" t="str">
        <f>VLOOKUP(Table1[[#This Row],[Tegevusala kood]],Table4[[Tegevusala kood]:[Tegevusala alanimetus]],4,FALSE)</f>
        <v>Muu elamu- ja kommunaalmajanduse tegevus</v>
      </c>
      <c r="S673" s="60"/>
      <c r="T673" s="53"/>
      <c r="U673" s="53">
        <f>Table1[[#This Row],[Summa]]+Table1[[#This Row],[I Muudatus]]+Table1[[#This Row],[II Muudatus]]</f>
        <v>2500</v>
      </c>
    </row>
    <row r="674" spans="1:21" ht="14.25" hidden="1" customHeight="1" x14ac:dyDescent="0.25">
      <c r="A674" s="41" t="s">
        <v>1136</v>
      </c>
      <c r="B674" s="41">
        <v>4000</v>
      </c>
      <c r="C674" s="52">
        <v>551100</v>
      </c>
      <c r="D674" s="52" t="str">
        <f>LEFT(Table1[[#This Row],[Eelarvekonto]],2)</f>
        <v>55</v>
      </c>
      <c r="E674" s="41" t="str">
        <f>VLOOKUP(Table1[[#This Row],[Eelarvekonto]],Table5[[Konto]:[Konto nimetus]],2,FALSE)</f>
        <v>Küte ja soojusenergia</v>
      </c>
      <c r="F674" s="41" t="s">
        <v>139</v>
      </c>
      <c r="G674" s="41" t="s">
        <v>24</v>
      </c>
      <c r="J674" s="41" t="s">
        <v>311</v>
      </c>
      <c r="K674" s="41" t="s">
        <v>81</v>
      </c>
      <c r="L674" s="58" t="s">
        <v>310</v>
      </c>
      <c r="M674" s="58" t="str">
        <f>LEFT(Table1[[#This Row],[Tegevusala kood]],2)</f>
        <v>06</v>
      </c>
      <c r="N674" s="41" t="str">
        <f>VLOOKUP(Table1[[#This Row],[Tegevusala kood]],Table4[[Tegevusala kood]:[Tegevusala alanimetus]],2,FALSE)</f>
        <v>Ulvi, Vinni-Pajusti teeninduspiirkond</v>
      </c>
      <c r="O674" s="41" t="s">
        <v>1</v>
      </c>
      <c r="P674" s="41" t="s">
        <v>1</v>
      </c>
      <c r="Q674" s="41" t="str">
        <f>VLOOKUP(Table1[[#This Row],[Eelarvekonto]],Table5[[Konto]:[Kontode alanimetus]],5,FALSE)</f>
        <v>Majandamiskulud</v>
      </c>
      <c r="R674" s="42" t="str">
        <f>VLOOKUP(Table1[[#This Row],[Tegevusala kood]],Table4[[Tegevusala kood]:[Tegevusala alanimetus]],4,FALSE)</f>
        <v>Muu elamu- ja kommunaalmajanduse tegevus</v>
      </c>
      <c r="S674" s="60"/>
      <c r="T674" s="53"/>
      <c r="U674" s="53">
        <f>Table1[[#This Row],[Summa]]+Table1[[#This Row],[I Muudatus]]+Table1[[#This Row],[II Muudatus]]</f>
        <v>4000</v>
      </c>
    </row>
    <row r="675" spans="1:21" ht="14.25" hidden="1" customHeight="1" x14ac:dyDescent="0.25">
      <c r="A675" s="41" t="s">
        <v>484</v>
      </c>
      <c r="B675" s="41">
        <v>1200</v>
      </c>
      <c r="C675" s="52">
        <v>5511</v>
      </c>
      <c r="D675" s="52" t="str">
        <f>LEFT(Table1[[#This Row],[Eelarvekonto]],2)</f>
        <v>55</v>
      </c>
      <c r="E675" s="41" t="str">
        <f>VLOOKUP(Table1[[#This Row],[Eelarvekonto]],Table5[[Konto]:[Konto nimetus]],2,FALSE)</f>
        <v>Kinnistute, hoonete ja ruumide majandamiskulud</v>
      </c>
      <c r="F675" s="41" t="s">
        <v>139</v>
      </c>
      <c r="G675" s="41" t="s">
        <v>24</v>
      </c>
      <c r="J675" s="41" t="s">
        <v>311</v>
      </c>
      <c r="K675" s="41" t="s">
        <v>81</v>
      </c>
      <c r="L675" s="58" t="s">
        <v>310</v>
      </c>
      <c r="M675" s="58" t="str">
        <f>LEFT(Table1[[#This Row],[Tegevusala kood]],2)</f>
        <v>06</v>
      </c>
      <c r="N675" s="41" t="str">
        <f>VLOOKUP(Table1[[#This Row],[Tegevusala kood]],Table4[[Tegevusala kood]:[Tegevusala alanimetus]],2,FALSE)</f>
        <v>Ulvi, Vinni-Pajusti teeninduspiirkond</v>
      </c>
      <c r="O675" s="41" t="s">
        <v>1</v>
      </c>
      <c r="P675" s="41" t="s">
        <v>1</v>
      </c>
      <c r="Q675" s="41" t="str">
        <f>VLOOKUP(Table1[[#This Row],[Eelarvekonto]],Table5[[Konto]:[Kontode alanimetus]],5,FALSE)</f>
        <v>Majandamiskulud</v>
      </c>
      <c r="R675" s="42" t="str">
        <f>VLOOKUP(Table1[[#This Row],[Tegevusala kood]],Table4[[Tegevusala kood]:[Tegevusala alanimetus]],4,FALSE)</f>
        <v>Muu elamu- ja kommunaalmajanduse tegevus</v>
      </c>
      <c r="S675" s="60"/>
      <c r="T675" s="53"/>
      <c r="U675" s="53">
        <f>Table1[[#This Row],[Summa]]+Table1[[#This Row],[I Muudatus]]+Table1[[#This Row],[II Muudatus]]</f>
        <v>1200</v>
      </c>
    </row>
    <row r="676" spans="1:21" ht="14.25" hidden="1" customHeight="1" x14ac:dyDescent="0.25">
      <c r="A676" s="41" t="s">
        <v>324</v>
      </c>
      <c r="B676" s="41">
        <v>1500</v>
      </c>
      <c r="C676" s="52">
        <v>5511</v>
      </c>
      <c r="D676" s="52" t="str">
        <f>LEFT(Table1[[#This Row],[Eelarvekonto]],2)</f>
        <v>55</v>
      </c>
      <c r="E676" s="41" t="str">
        <f>VLOOKUP(Table1[[#This Row],[Eelarvekonto]],Table5[[Konto]:[Konto nimetus]],2,FALSE)</f>
        <v>Kinnistute, hoonete ja ruumide majandamiskulud</v>
      </c>
      <c r="F676" s="41" t="s">
        <v>139</v>
      </c>
      <c r="G676" s="41" t="s">
        <v>24</v>
      </c>
      <c r="J676" s="41" t="s">
        <v>311</v>
      </c>
      <c r="K676" s="41" t="s">
        <v>81</v>
      </c>
      <c r="L676" s="58" t="s">
        <v>310</v>
      </c>
      <c r="M676" s="58" t="str">
        <f>LEFT(Table1[[#This Row],[Tegevusala kood]],2)</f>
        <v>06</v>
      </c>
      <c r="N676" s="41" t="str">
        <f>VLOOKUP(Table1[[#This Row],[Tegevusala kood]],Table4[[Tegevusala kood]:[Tegevusala alanimetus]],2,FALSE)</f>
        <v>Ulvi, Vinni-Pajusti teeninduspiirkond</v>
      </c>
      <c r="O676" s="41" t="s">
        <v>1</v>
      </c>
      <c r="P676" s="41" t="s">
        <v>1</v>
      </c>
      <c r="Q676" s="41" t="str">
        <f>VLOOKUP(Table1[[#This Row],[Eelarvekonto]],Table5[[Konto]:[Kontode alanimetus]],5,FALSE)</f>
        <v>Majandamiskulud</v>
      </c>
      <c r="R676" s="42" t="str">
        <f>VLOOKUP(Table1[[#This Row],[Tegevusala kood]],Table4[[Tegevusala kood]:[Tegevusala alanimetus]],4,FALSE)</f>
        <v>Muu elamu- ja kommunaalmajanduse tegevus</v>
      </c>
      <c r="S676" s="60"/>
      <c r="T676" s="53"/>
      <c r="U676" s="53">
        <f>Table1[[#This Row],[Summa]]+Table1[[#This Row],[I Muudatus]]+Table1[[#This Row],[II Muudatus]]</f>
        <v>1500</v>
      </c>
    </row>
    <row r="677" spans="1:21" ht="14.25" hidden="1" customHeight="1" x14ac:dyDescent="0.25">
      <c r="A677" s="41" t="s">
        <v>158</v>
      </c>
      <c r="B677" s="41">
        <v>33386.29</v>
      </c>
      <c r="C677" s="52">
        <v>506</v>
      </c>
      <c r="D677" s="52" t="str">
        <f>LEFT(Table1[[#This Row],[Eelarvekonto]],2)</f>
        <v>50</v>
      </c>
      <c r="E677" s="41" t="str">
        <f>VLOOKUP(Table1[[#This Row],[Eelarvekonto]],Table5[[Konto]:[Konto nimetus]],2,FALSE)</f>
        <v>Tööjõukuludega kaasnevad maksud ja sotsiaalkindlustusmaksed</v>
      </c>
      <c r="F677" s="41" t="s">
        <v>139</v>
      </c>
      <c r="G677" s="41" t="s">
        <v>24</v>
      </c>
      <c r="J677" s="41" t="s">
        <v>311</v>
      </c>
      <c r="K677" s="41" t="s">
        <v>81</v>
      </c>
      <c r="L677" s="58" t="s">
        <v>310</v>
      </c>
      <c r="M677" s="58" t="str">
        <f>LEFT(Table1[[#This Row],[Tegevusala kood]],2)</f>
        <v>06</v>
      </c>
      <c r="N677" s="41" t="str">
        <f>VLOOKUP(Table1[[#This Row],[Tegevusala kood]],Table4[[Tegevusala kood]:[Tegevusala alanimetus]],2,FALSE)</f>
        <v>Ulvi, Vinni-Pajusti teeninduspiirkond</v>
      </c>
      <c r="O677" s="41" t="s">
        <v>1</v>
      </c>
      <c r="P677" s="41" t="s">
        <v>1</v>
      </c>
      <c r="Q677" s="41" t="str">
        <f>VLOOKUP(Table1[[#This Row],[Eelarvekonto]],Table5[[Konto]:[Kontode alanimetus]],5,FALSE)</f>
        <v>Tööjõukulud</v>
      </c>
      <c r="R677" s="42" t="str">
        <f>VLOOKUP(Table1[[#This Row],[Tegevusala kood]],Table4[[Tegevusala kood]:[Tegevusala alanimetus]],4,FALSE)</f>
        <v>Muu elamu- ja kommunaalmajanduse tegevus</v>
      </c>
      <c r="S677" s="53"/>
      <c r="T677" s="53"/>
      <c r="U677" s="53">
        <f>Table1[[#This Row],[Summa]]+Table1[[#This Row],[I Muudatus]]+Table1[[#This Row],[II Muudatus]]</f>
        <v>33386.29</v>
      </c>
    </row>
    <row r="678" spans="1:21" ht="14.25" hidden="1" customHeight="1" x14ac:dyDescent="0.25">
      <c r="A678" s="41" t="s">
        <v>581</v>
      </c>
      <c r="B678" s="41">
        <v>14850</v>
      </c>
      <c r="C678" s="52">
        <v>5008</v>
      </c>
      <c r="D678" s="52" t="str">
        <f>LEFT(Table1[[#This Row],[Eelarvekonto]],2)</f>
        <v>50</v>
      </c>
      <c r="E678" s="41" t="str">
        <f>VLOOKUP(Table1[[#This Row],[Eelarvekonto]],Table5[[Konto]:[Konto nimetus]],2,FALSE)</f>
        <v>Muude isikute töötasud</v>
      </c>
      <c r="F678" s="41" t="s">
        <v>139</v>
      </c>
      <c r="G678" s="41" t="s">
        <v>24</v>
      </c>
      <c r="J678" s="41" t="s">
        <v>311</v>
      </c>
      <c r="K678" s="41" t="s">
        <v>81</v>
      </c>
      <c r="L678" s="58" t="s">
        <v>310</v>
      </c>
      <c r="M678" s="58" t="str">
        <f>LEFT(Table1[[#This Row],[Tegevusala kood]],2)</f>
        <v>06</v>
      </c>
      <c r="N678" s="41" t="str">
        <f>VLOOKUP(Table1[[#This Row],[Tegevusala kood]],Table4[[Tegevusala kood]:[Tegevusala alanimetus]],2,FALSE)</f>
        <v>Ulvi, Vinni-Pajusti teeninduspiirkond</v>
      </c>
      <c r="O678" s="41" t="s">
        <v>1</v>
      </c>
      <c r="P678" s="41" t="s">
        <v>1</v>
      </c>
      <c r="Q678" s="41" t="str">
        <f>VLOOKUP(Table1[[#This Row],[Eelarvekonto]],Table5[[Konto]:[Kontode alanimetus]],5,FALSE)</f>
        <v>Tööjõukulud</v>
      </c>
      <c r="R678" s="42" t="str">
        <f>VLOOKUP(Table1[[#This Row],[Tegevusala kood]],Table4[[Tegevusala kood]:[Tegevusala alanimetus]],4,FALSE)</f>
        <v>Muu elamu- ja kommunaalmajanduse tegevus</v>
      </c>
      <c r="S678" s="53"/>
      <c r="T678" s="53"/>
      <c r="U678" s="53">
        <f>Table1[[#This Row],[Summa]]+Table1[[#This Row],[I Muudatus]]+Table1[[#This Row],[II Muudatus]]</f>
        <v>14850</v>
      </c>
    </row>
    <row r="679" spans="1:21" ht="14.25" hidden="1" customHeight="1" x14ac:dyDescent="0.25">
      <c r="A679" s="41" t="s">
        <v>1137</v>
      </c>
      <c r="B679" s="41">
        <v>25344</v>
      </c>
      <c r="C679" s="52">
        <v>5002</v>
      </c>
      <c r="D679" s="52" t="str">
        <f>LEFT(Table1[[#This Row],[Eelarvekonto]],2)</f>
        <v>50</v>
      </c>
      <c r="E679" s="41" t="str">
        <f>VLOOKUP(Table1[[#This Row],[Eelarvekonto]],Table5[[Konto]:[Konto nimetus]],2,FALSE)</f>
        <v>Töötajate töötasud</v>
      </c>
      <c r="F679" s="41" t="s">
        <v>139</v>
      </c>
      <c r="G679" s="41" t="s">
        <v>24</v>
      </c>
      <c r="J679" s="41" t="s">
        <v>311</v>
      </c>
      <c r="K679" s="41" t="s">
        <v>81</v>
      </c>
      <c r="L679" s="58" t="s">
        <v>310</v>
      </c>
      <c r="M679" s="58" t="str">
        <f>LEFT(Table1[[#This Row],[Tegevusala kood]],2)</f>
        <v>06</v>
      </c>
      <c r="N679" s="41" t="str">
        <f>VLOOKUP(Table1[[#This Row],[Tegevusala kood]],Table4[[Tegevusala kood]:[Tegevusala alanimetus]],2,FALSE)</f>
        <v>Ulvi, Vinni-Pajusti teeninduspiirkond</v>
      </c>
      <c r="O679" s="41" t="s">
        <v>1</v>
      </c>
      <c r="P679" s="41" t="s">
        <v>1</v>
      </c>
      <c r="Q679" s="41" t="str">
        <f>VLOOKUP(Table1[[#This Row],[Eelarvekonto]],Table5[[Konto]:[Kontode alanimetus]],5,FALSE)</f>
        <v>Tööjõukulud</v>
      </c>
      <c r="R679" s="42" t="str">
        <f>VLOOKUP(Table1[[#This Row],[Tegevusala kood]],Table4[[Tegevusala kood]:[Tegevusala alanimetus]],4,FALSE)</f>
        <v>Muu elamu- ja kommunaalmajanduse tegevus</v>
      </c>
      <c r="S679" s="53"/>
      <c r="T679" s="53"/>
      <c r="U679" s="53">
        <f>Table1[[#This Row],[Summa]]+Table1[[#This Row],[I Muudatus]]+Table1[[#This Row],[II Muudatus]]</f>
        <v>25344</v>
      </c>
    </row>
    <row r="680" spans="1:21" ht="14.25" hidden="1" customHeight="1" x14ac:dyDescent="0.25">
      <c r="A680" s="41" t="s">
        <v>318</v>
      </c>
      <c r="B680" s="41">
        <v>4680</v>
      </c>
      <c r="C680" s="52">
        <v>5002</v>
      </c>
      <c r="D680" s="52" t="str">
        <f>LEFT(Table1[[#This Row],[Eelarvekonto]],2)</f>
        <v>50</v>
      </c>
      <c r="E680" s="41" t="str">
        <f>VLOOKUP(Table1[[#This Row],[Eelarvekonto]],Table5[[Konto]:[Konto nimetus]],2,FALSE)</f>
        <v>Töötajate töötasud</v>
      </c>
      <c r="F680" s="41" t="s">
        <v>139</v>
      </c>
      <c r="G680" s="41" t="s">
        <v>24</v>
      </c>
      <c r="J680" s="41" t="s">
        <v>311</v>
      </c>
      <c r="K680" s="41" t="s">
        <v>81</v>
      </c>
      <c r="L680" s="58" t="s">
        <v>310</v>
      </c>
      <c r="M680" s="58" t="str">
        <f>LEFT(Table1[[#This Row],[Tegevusala kood]],2)</f>
        <v>06</v>
      </c>
      <c r="N680" s="41" t="str">
        <f>VLOOKUP(Table1[[#This Row],[Tegevusala kood]],Table4[[Tegevusala kood]:[Tegevusala alanimetus]],2,FALSE)</f>
        <v>Ulvi, Vinni-Pajusti teeninduspiirkond</v>
      </c>
      <c r="O680" s="41" t="s">
        <v>1</v>
      </c>
      <c r="P680" s="41" t="s">
        <v>1</v>
      </c>
      <c r="Q680" s="41" t="str">
        <f>VLOOKUP(Table1[[#This Row],[Eelarvekonto]],Table5[[Konto]:[Kontode alanimetus]],5,FALSE)</f>
        <v>Tööjõukulud</v>
      </c>
      <c r="R680" s="42" t="str">
        <f>VLOOKUP(Table1[[#This Row],[Tegevusala kood]],Table4[[Tegevusala kood]:[Tegevusala alanimetus]],4,FALSE)</f>
        <v>Muu elamu- ja kommunaalmajanduse tegevus</v>
      </c>
      <c r="S680" s="53"/>
      <c r="T680" s="53"/>
      <c r="U680" s="53">
        <f>Table1[[#This Row],[Summa]]+Table1[[#This Row],[I Muudatus]]+Table1[[#This Row],[II Muudatus]]</f>
        <v>4680</v>
      </c>
    </row>
    <row r="681" spans="1:21" ht="14.25" hidden="1" customHeight="1" x14ac:dyDescent="0.25">
      <c r="A681" s="41" t="s">
        <v>1138</v>
      </c>
      <c r="B681" s="41">
        <v>12672</v>
      </c>
      <c r="C681" s="52">
        <v>5002</v>
      </c>
      <c r="D681" s="52" t="str">
        <f>LEFT(Table1[[#This Row],[Eelarvekonto]],2)</f>
        <v>50</v>
      </c>
      <c r="E681" s="41" t="str">
        <f>VLOOKUP(Table1[[#This Row],[Eelarvekonto]],Table5[[Konto]:[Konto nimetus]],2,FALSE)</f>
        <v>Töötajate töötasud</v>
      </c>
      <c r="F681" s="41" t="s">
        <v>139</v>
      </c>
      <c r="G681" s="41" t="s">
        <v>24</v>
      </c>
      <c r="J681" s="41" t="s">
        <v>311</v>
      </c>
      <c r="K681" s="41" t="s">
        <v>81</v>
      </c>
      <c r="L681" s="58" t="s">
        <v>310</v>
      </c>
      <c r="M681" s="58" t="str">
        <f>LEFT(Table1[[#This Row],[Tegevusala kood]],2)</f>
        <v>06</v>
      </c>
      <c r="N681" s="41" t="str">
        <f>VLOOKUP(Table1[[#This Row],[Tegevusala kood]],Table4[[Tegevusala kood]:[Tegevusala alanimetus]],2,FALSE)</f>
        <v>Ulvi, Vinni-Pajusti teeninduspiirkond</v>
      </c>
      <c r="O681" s="41" t="s">
        <v>1</v>
      </c>
      <c r="P681" s="41" t="s">
        <v>1</v>
      </c>
      <c r="Q681" s="41" t="str">
        <f>VLOOKUP(Table1[[#This Row],[Eelarvekonto]],Table5[[Konto]:[Kontode alanimetus]],5,FALSE)</f>
        <v>Tööjõukulud</v>
      </c>
      <c r="R681" s="42" t="str">
        <f>VLOOKUP(Table1[[#This Row],[Tegevusala kood]],Table4[[Tegevusala kood]:[Tegevusala alanimetus]],4,FALSE)</f>
        <v>Muu elamu- ja kommunaalmajanduse tegevus</v>
      </c>
      <c r="S681" s="53"/>
      <c r="T681" s="53"/>
      <c r="U681" s="53">
        <f>Table1[[#This Row],[Summa]]+Table1[[#This Row],[I Muudatus]]+Table1[[#This Row],[II Muudatus]]</f>
        <v>12672</v>
      </c>
    </row>
    <row r="682" spans="1:21" ht="14.25" hidden="1" customHeight="1" x14ac:dyDescent="0.25">
      <c r="A682" s="41" t="s">
        <v>317</v>
      </c>
      <c r="B682" s="41">
        <v>12672</v>
      </c>
      <c r="C682" s="52">
        <v>5002</v>
      </c>
      <c r="D682" s="52" t="str">
        <f>LEFT(Table1[[#This Row],[Eelarvekonto]],2)</f>
        <v>50</v>
      </c>
      <c r="E682" s="41" t="str">
        <f>VLOOKUP(Table1[[#This Row],[Eelarvekonto]],Table5[[Konto]:[Konto nimetus]],2,FALSE)</f>
        <v>Töötajate töötasud</v>
      </c>
      <c r="F682" s="41" t="s">
        <v>139</v>
      </c>
      <c r="G682" s="41" t="s">
        <v>24</v>
      </c>
      <c r="J682" s="41" t="s">
        <v>311</v>
      </c>
      <c r="K682" s="41" t="s">
        <v>81</v>
      </c>
      <c r="L682" s="58" t="s">
        <v>310</v>
      </c>
      <c r="M682" s="58" t="str">
        <f>LEFT(Table1[[#This Row],[Tegevusala kood]],2)</f>
        <v>06</v>
      </c>
      <c r="N682" s="41" t="str">
        <f>VLOOKUP(Table1[[#This Row],[Tegevusala kood]],Table4[[Tegevusala kood]:[Tegevusala alanimetus]],2,FALSE)</f>
        <v>Ulvi, Vinni-Pajusti teeninduspiirkond</v>
      </c>
      <c r="O682" s="41" t="s">
        <v>1</v>
      </c>
      <c r="P682" s="41" t="s">
        <v>1</v>
      </c>
      <c r="Q682" s="41" t="str">
        <f>VLOOKUP(Table1[[#This Row],[Eelarvekonto]],Table5[[Konto]:[Kontode alanimetus]],5,FALSE)</f>
        <v>Tööjõukulud</v>
      </c>
      <c r="R682" s="42" t="str">
        <f>VLOOKUP(Table1[[#This Row],[Tegevusala kood]],Table4[[Tegevusala kood]:[Tegevusala alanimetus]],4,FALSE)</f>
        <v>Muu elamu- ja kommunaalmajanduse tegevus</v>
      </c>
      <c r="S682" s="53"/>
      <c r="T682" s="53"/>
      <c r="U682" s="53">
        <f>Table1[[#This Row],[Summa]]+Table1[[#This Row],[I Muudatus]]+Table1[[#This Row],[II Muudatus]]</f>
        <v>12672</v>
      </c>
    </row>
    <row r="683" spans="1:21" ht="14.25" hidden="1" customHeight="1" x14ac:dyDescent="0.25">
      <c r="A683" s="41" t="s">
        <v>253</v>
      </c>
      <c r="B683" s="41">
        <v>10800</v>
      </c>
      <c r="C683" s="52">
        <v>551300</v>
      </c>
      <c r="D683" s="52" t="str">
        <f>LEFT(Table1[[#This Row],[Eelarvekonto]],2)</f>
        <v>55</v>
      </c>
      <c r="E683" s="41" t="str">
        <f>VLOOKUP(Table1[[#This Row],[Eelarvekonto]],Table5[[Konto]:[Konto nimetus]],2,FALSE)</f>
        <v>Kütus</v>
      </c>
      <c r="F683" s="41" t="s">
        <v>139</v>
      </c>
      <c r="G683" s="41" t="s">
        <v>24</v>
      </c>
      <c r="J683" s="41" t="s">
        <v>311</v>
      </c>
      <c r="K683" s="41" t="s">
        <v>81</v>
      </c>
      <c r="L683" s="58" t="s">
        <v>310</v>
      </c>
      <c r="M683" s="58" t="str">
        <f>LEFT(Table1[[#This Row],[Tegevusala kood]],2)</f>
        <v>06</v>
      </c>
      <c r="N683" s="41" t="str">
        <f>VLOOKUP(Table1[[#This Row],[Tegevusala kood]],Table4[[Tegevusala kood]:[Tegevusala alanimetus]],2,FALSE)</f>
        <v>Ulvi, Vinni-Pajusti teeninduspiirkond</v>
      </c>
      <c r="O683" s="41" t="s">
        <v>1</v>
      </c>
      <c r="P683" s="41" t="s">
        <v>1</v>
      </c>
      <c r="Q683" s="41" t="str">
        <f>VLOOKUP(Table1[[#This Row],[Eelarvekonto]],Table5[[Konto]:[Kontode alanimetus]],5,FALSE)</f>
        <v>Majandamiskulud</v>
      </c>
      <c r="R683" s="42" t="str">
        <f>VLOOKUP(Table1[[#This Row],[Tegevusala kood]],Table4[[Tegevusala kood]:[Tegevusala alanimetus]],4,FALSE)</f>
        <v>Muu elamu- ja kommunaalmajanduse tegevus</v>
      </c>
      <c r="S683" s="53"/>
      <c r="T683" s="53"/>
      <c r="U683" s="53">
        <f>Table1[[#This Row],[Summa]]+Table1[[#This Row],[I Muudatus]]+Table1[[#This Row],[II Muudatus]]</f>
        <v>10800</v>
      </c>
    </row>
    <row r="684" spans="1:21" ht="14.25" hidden="1" customHeight="1" x14ac:dyDescent="0.25">
      <c r="A684" s="41" t="s">
        <v>579</v>
      </c>
      <c r="B684" s="41">
        <v>1800</v>
      </c>
      <c r="C684" s="52">
        <v>5513081</v>
      </c>
      <c r="D684" s="52" t="str">
        <f>LEFT(Table1[[#This Row],[Eelarvekonto]],2)</f>
        <v>55</v>
      </c>
      <c r="E684" s="41" t="str">
        <f>VLOOKUP(Table1[[#This Row],[Eelarvekonto]],Table5[[Konto]:[Konto nimetus]],2,FALSE)</f>
        <v>Isikliku sõiduauto kompensatsioon</v>
      </c>
      <c r="F684" s="41" t="s">
        <v>139</v>
      </c>
      <c r="G684" s="41" t="s">
        <v>24</v>
      </c>
      <c r="J684" s="41" t="s">
        <v>311</v>
      </c>
      <c r="K684" s="41" t="s">
        <v>81</v>
      </c>
      <c r="L684" s="58" t="s">
        <v>310</v>
      </c>
      <c r="M684" s="58" t="str">
        <f>LEFT(Table1[[#This Row],[Tegevusala kood]],2)</f>
        <v>06</v>
      </c>
      <c r="N684" s="41" t="str">
        <f>VLOOKUP(Table1[[#This Row],[Tegevusala kood]],Table4[[Tegevusala kood]:[Tegevusala alanimetus]],2,FALSE)</f>
        <v>Ulvi, Vinni-Pajusti teeninduspiirkond</v>
      </c>
      <c r="O684" s="41" t="s">
        <v>1</v>
      </c>
      <c r="P684" s="41" t="s">
        <v>1</v>
      </c>
      <c r="Q684" s="41" t="str">
        <f>VLOOKUP(Table1[[#This Row],[Eelarvekonto]],Table5[[Konto]:[Kontode alanimetus]],5,FALSE)</f>
        <v>Majandamiskulud</v>
      </c>
      <c r="R684" s="42" t="str">
        <f>VLOOKUP(Table1[[#This Row],[Tegevusala kood]],Table4[[Tegevusala kood]:[Tegevusala alanimetus]],4,FALSE)</f>
        <v>Muu elamu- ja kommunaalmajanduse tegevus</v>
      </c>
      <c r="S684" s="53"/>
      <c r="T684" s="53"/>
      <c r="U684" s="53">
        <f>Table1[[#This Row],[Summa]]+Table1[[#This Row],[I Muudatus]]+Table1[[#This Row],[II Muudatus]]</f>
        <v>1800</v>
      </c>
    </row>
    <row r="685" spans="1:21" ht="14.25" hidden="1" customHeight="1" x14ac:dyDescent="0.25">
      <c r="A685" s="41" t="s">
        <v>958</v>
      </c>
      <c r="B685" s="41">
        <v>6000</v>
      </c>
      <c r="C685" s="52">
        <v>5511</v>
      </c>
      <c r="D685" s="52" t="str">
        <f>LEFT(Table1[[#This Row],[Eelarvekonto]],2)</f>
        <v>55</v>
      </c>
      <c r="E685" s="41" t="str">
        <f>VLOOKUP(Table1[[#This Row],[Eelarvekonto]],Table5[[Konto]:[Konto nimetus]],2,FALSE)</f>
        <v>Kinnistute, hoonete ja ruumide majandamiskulud</v>
      </c>
      <c r="F685" s="41" t="s">
        <v>139</v>
      </c>
      <c r="G685" s="41" t="s">
        <v>24</v>
      </c>
      <c r="J685" s="41" t="s">
        <v>311</v>
      </c>
      <c r="K685" s="41" t="s">
        <v>81</v>
      </c>
      <c r="L685" s="58" t="s">
        <v>310</v>
      </c>
      <c r="M685" s="58" t="str">
        <f>LEFT(Table1[[#This Row],[Tegevusala kood]],2)</f>
        <v>06</v>
      </c>
      <c r="N685" s="41" t="str">
        <f>VLOOKUP(Table1[[#This Row],[Tegevusala kood]],Table4[[Tegevusala kood]:[Tegevusala alanimetus]],2,FALSE)</f>
        <v>Ulvi, Vinni-Pajusti teeninduspiirkond</v>
      </c>
      <c r="O685" s="41" t="s">
        <v>1</v>
      </c>
      <c r="P685" s="41" t="s">
        <v>1</v>
      </c>
      <c r="Q685" s="41" t="str">
        <f>VLOOKUP(Table1[[#This Row],[Eelarvekonto]],Table5[[Konto]:[Kontode alanimetus]],5,FALSE)</f>
        <v>Majandamiskulud</v>
      </c>
      <c r="R685" s="42" t="str">
        <f>VLOOKUP(Table1[[#This Row],[Tegevusala kood]],Table4[[Tegevusala kood]:[Tegevusala alanimetus]],4,FALSE)</f>
        <v>Muu elamu- ja kommunaalmajanduse tegevus</v>
      </c>
      <c r="S685" s="53"/>
      <c r="T685" s="53"/>
      <c r="U685" s="53">
        <f>Table1[[#This Row],[Summa]]+Table1[[#This Row],[I Muudatus]]+Table1[[#This Row],[II Muudatus]]</f>
        <v>6000</v>
      </c>
    </row>
    <row r="686" spans="1:21" ht="14.25" hidden="1" customHeight="1" x14ac:dyDescent="0.25">
      <c r="A686" s="41" t="s">
        <v>578</v>
      </c>
      <c r="B686" s="41">
        <v>2520</v>
      </c>
      <c r="C686" s="52">
        <v>5513</v>
      </c>
      <c r="D686" s="52" t="str">
        <f>LEFT(Table1[[#This Row],[Eelarvekonto]],2)</f>
        <v>55</v>
      </c>
      <c r="E686" s="41" t="str">
        <f>VLOOKUP(Table1[[#This Row],[Eelarvekonto]],Table5[[Konto]:[Konto nimetus]],2,FALSE)</f>
        <v>Sõidukite ülalpidamise kulud</v>
      </c>
      <c r="F686" s="41" t="s">
        <v>139</v>
      </c>
      <c r="G686" s="41" t="s">
        <v>24</v>
      </c>
      <c r="J686" s="41" t="s">
        <v>311</v>
      </c>
      <c r="K686" s="41" t="s">
        <v>81</v>
      </c>
      <c r="L686" s="58" t="s">
        <v>310</v>
      </c>
      <c r="M686" s="58" t="str">
        <f>LEFT(Table1[[#This Row],[Tegevusala kood]],2)</f>
        <v>06</v>
      </c>
      <c r="N686" s="41" t="str">
        <f>VLOOKUP(Table1[[#This Row],[Tegevusala kood]],Table4[[Tegevusala kood]:[Tegevusala alanimetus]],2,FALSE)</f>
        <v>Ulvi, Vinni-Pajusti teeninduspiirkond</v>
      </c>
      <c r="O686" s="41" t="s">
        <v>1</v>
      </c>
      <c r="P686" s="41" t="s">
        <v>1</v>
      </c>
      <c r="Q686" s="41" t="str">
        <f>VLOOKUP(Table1[[#This Row],[Eelarvekonto]],Table5[[Konto]:[Kontode alanimetus]],5,FALSE)</f>
        <v>Majandamiskulud</v>
      </c>
      <c r="R686" s="42" t="str">
        <f>VLOOKUP(Table1[[#This Row],[Tegevusala kood]],Table4[[Tegevusala kood]:[Tegevusala alanimetus]],4,FALSE)</f>
        <v>Muu elamu- ja kommunaalmajanduse tegevus</v>
      </c>
      <c r="S686" s="53"/>
      <c r="T686" s="53"/>
      <c r="U686" s="53">
        <f>Table1[[#This Row],[Summa]]+Table1[[#This Row],[I Muudatus]]+Table1[[#This Row],[II Muudatus]]</f>
        <v>2520</v>
      </c>
    </row>
    <row r="687" spans="1:21" ht="14.25" hidden="1" customHeight="1" x14ac:dyDescent="0.25">
      <c r="A687" s="41" t="s">
        <v>577</v>
      </c>
      <c r="B687" s="41">
        <v>191.76</v>
      </c>
      <c r="C687" s="52">
        <v>5511</v>
      </c>
      <c r="D687" s="52" t="str">
        <f>LEFT(Table1[[#This Row],[Eelarvekonto]],2)</f>
        <v>55</v>
      </c>
      <c r="E687" s="41" t="str">
        <f>VLOOKUP(Table1[[#This Row],[Eelarvekonto]],Table5[[Konto]:[Konto nimetus]],2,FALSE)</f>
        <v>Kinnistute, hoonete ja ruumide majandamiskulud</v>
      </c>
      <c r="F687" s="41" t="s">
        <v>139</v>
      </c>
      <c r="G687" s="41" t="s">
        <v>24</v>
      </c>
      <c r="J687" s="41" t="s">
        <v>311</v>
      </c>
      <c r="K687" s="41" t="s">
        <v>81</v>
      </c>
      <c r="L687" s="58" t="s">
        <v>310</v>
      </c>
      <c r="M687" s="58" t="str">
        <f>LEFT(Table1[[#This Row],[Tegevusala kood]],2)</f>
        <v>06</v>
      </c>
      <c r="N687" s="41" t="str">
        <f>VLOOKUP(Table1[[#This Row],[Tegevusala kood]],Table4[[Tegevusala kood]:[Tegevusala alanimetus]],2,FALSE)</f>
        <v>Ulvi, Vinni-Pajusti teeninduspiirkond</v>
      </c>
      <c r="O687" s="41" t="s">
        <v>1</v>
      </c>
      <c r="P687" s="41" t="s">
        <v>1</v>
      </c>
      <c r="Q687" s="41" t="str">
        <f>VLOOKUP(Table1[[#This Row],[Eelarvekonto]],Table5[[Konto]:[Kontode alanimetus]],5,FALSE)</f>
        <v>Majandamiskulud</v>
      </c>
      <c r="R687" s="42" t="str">
        <f>VLOOKUP(Table1[[#This Row],[Tegevusala kood]],Table4[[Tegevusala kood]:[Tegevusala alanimetus]],4,FALSE)</f>
        <v>Muu elamu- ja kommunaalmajanduse tegevus</v>
      </c>
      <c r="S687" s="53"/>
      <c r="T687" s="53"/>
      <c r="U687" s="53">
        <f>Table1[[#This Row],[Summa]]+Table1[[#This Row],[I Muudatus]]+Table1[[#This Row],[II Muudatus]]</f>
        <v>191.76</v>
      </c>
    </row>
    <row r="688" spans="1:21" ht="14.25" hidden="1" customHeight="1" x14ac:dyDescent="0.25">
      <c r="A688" s="41" t="s">
        <v>576</v>
      </c>
      <c r="B688" s="41">
        <v>6480</v>
      </c>
      <c r="C688" s="52">
        <v>5511</v>
      </c>
      <c r="D688" s="52" t="str">
        <f>LEFT(Table1[[#This Row],[Eelarvekonto]],2)</f>
        <v>55</v>
      </c>
      <c r="E688" s="41" t="str">
        <f>VLOOKUP(Table1[[#This Row],[Eelarvekonto]],Table5[[Konto]:[Konto nimetus]],2,FALSE)</f>
        <v>Kinnistute, hoonete ja ruumide majandamiskulud</v>
      </c>
      <c r="F688" s="41" t="s">
        <v>139</v>
      </c>
      <c r="G688" s="41" t="s">
        <v>24</v>
      </c>
      <c r="J688" s="41" t="s">
        <v>311</v>
      </c>
      <c r="K688" s="41" t="s">
        <v>81</v>
      </c>
      <c r="L688" s="58" t="s">
        <v>310</v>
      </c>
      <c r="M688" s="58" t="str">
        <f>LEFT(Table1[[#This Row],[Tegevusala kood]],2)</f>
        <v>06</v>
      </c>
      <c r="N688" s="41" t="str">
        <f>VLOOKUP(Table1[[#This Row],[Tegevusala kood]],Table4[[Tegevusala kood]:[Tegevusala alanimetus]],2,FALSE)</f>
        <v>Ulvi, Vinni-Pajusti teeninduspiirkond</v>
      </c>
      <c r="O688" s="41" t="s">
        <v>1</v>
      </c>
      <c r="P688" s="41" t="s">
        <v>1</v>
      </c>
      <c r="Q688" s="41" t="str">
        <f>VLOOKUP(Table1[[#This Row],[Eelarvekonto]],Table5[[Konto]:[Kontode alanimetus]],5,FALSE)</f>
        <v>Majandamiskulud</v>
      </c>
      <c r="R688" s="42" t="str">
        <f>VLOOKUP(Table1[[#This Row],[Tegevusala kood]],Table4[[Tegevusala kood]:[Tegevusala alanimetus]],4,FALSE)</f>
        <v>Muu elamu- ja kommunaalmajanduse tegevus</v>
      </c>
      <c r="S688" s="53"/>
      <c r="T688" s="53"/>
      <c r="U688" s="53">
        <f>Table1[[#This Row],[Summa]]+Table1[[#This Row],[I Muudatus]]+Table1[[#This Row],[II Muudatus]]</f>
        <v>6480</v>
      </c>
    </row>
    <row r="689" spans="1:21" ht="14.25" hidden="1" customHeight="1" x14ac:dyDescent="0.25">
      <c r="A689" s="41" t="s">
        <v>575</v>
      </c>
      <c r="B689" s="41">
        <v>115.08</v>
      </c>
      <c r="C689" s="52">
        <v>5511</v>
      </c>
      <c r="D689" s="52" t="str">
        <f>LEFT(Table1[[#This Row],[Eelarvekonto]],2)</f>
        <v>55</v>
      </c>
      <c r="E689" s="41" t="str">
        <f>VLOOKUP(Table1[[#This Row],[Eelarvekonto]],Table5[[Konto]:[Konto nimetus]],2,FALSE)</f>
        <v>Kinnistute, hoonete ja ruumide majandamiskulud</v>
      </c>
      <c r="F689" s="41" t="s">
        <v>139</v>
      </c>
      <c r="G689" s="41" t="s">
        <v>24</v>
      </c>
      <c r="J689" s="41" t="s">
        <v>311</v>
      </c>
      <c r="K689" s="41" t="s">
        <v>81</v>
      </c>
      <c r="L689" s="58" t="s">
        <v>310</v>
      </c>
      <c r="M689" s="58" t="str">
        <f>LEFT(Table1[[#This Row],[Tegevusala kood]],2)</f>
        <v>06</v>
      </c>
      <c r="N689" s="41" t="str">
        <f>VLOOKUP(Table1[[#This Row],[Tegevusala kood]],Table4[[Tegevusala kood]:[Tegevusala alanimetus]],2,FALSE)</f>
        <v>Ulvi, Vinni-Pajusti teeninduspiirkond</v>
      </c>
      <c r="O689" s="41" t="s">
        <v>1</v>
      </c>
      <c r="P689" s="41" t="s">
        <v>1</v>
      </c>
      <c r="Q689" s="41" t="str">
        <f>VLOOKUP(Table1[[#This Row],[Eelarvekonto]],Table5[[Konto]:[Kontode alanimetus]],5,FALSE)</f>
        <v>Majandamiskulud</v>
      </c>
      <c r="R689" s="42" t="str">
        <f>VLOOKUP(Table1[[#This Row],[Tegevusala kood]],Table4[[Tegevusala kood]:[Tegevusala alanimetus]],4,FALSE)</f>
        <v>Muu elamu- ja kommunaalmajanduse tegevus</v>
      </c>
      <c r="S689" s="53"/>
      <c r="T689" s="53"/>
      <c r="U689" s="53">
        <f>Table1[[#This Row],[Summa]]+Table1[[#This Row],[I Muudatus]]+Table1[[#This Row],[II Muudatus]]</f>
        <v>115.08</v>
      </c>
    </row>
    <row r="690" spans="1:21" ht="14.25" hidden="1" customHeight="1" x14ac:dyDescent="0.25">
      <c r="A690" s="41" t="s">
        <v>574</v>
      </c>
      <c r="B690" s="41">
        <v>1908</v>
      </c>
      <c r="C690" s="52">
        <v>5511</v>
      </c>
      <c r="D690" s="52" t="str">
        <f>LEFT(Table1[[#This Row],[Eelarvekonto]],2)</f>
        <v>55</v>
      </c>
      <c r="E690" s="41" t="str">
        <f>VLOOKUP(Table1[[#This Row],[Eelarvekonto]],Table5[[Konto]:[Konto nimetus]],2,FALSE)</f>
        <v>Kinnistute, hoonete ja ruumide majandamiskulud</v>
      </c>
      <c r="F690" s="41" t="s">
        <v>139</v>
      </c>
      <c r="G690" s="41" t="s">
        <v>24</v>
      </c>
      <c r="J690" s="41" t="s">
        <v>311</v>
      </c>
      <c r="K690" s="41" t="s">
        <v>81</v>
      </c>
      <c r="L690" s="58" t="s">
        <v>310</v>
      </c>
      <c r="M690" s="58" t="str">
        <f>LEFT(Table1[[#This Row],[Tegevusala kood]],2)</f>
        <v>06</v>
      </c>
      <c r="N690" s="41" t="str">
        <f>VLOOKUP(Table1[[#This Row],[Tegevusala kood]],Table4[[Tegevusala kood]:[Tegevusala alanimetus]],2,FALSE)</f>
        <v>Ulvi, Vinni-Pajusti teeninduspiirkond</v>
      </c>
      <c r="O690" s="41" t="s">
        <v>1</v>
      </c>
      <c r="P690" s="41" t="s">
        <v>1</v>
      </c>
      <c r="Q690" s="41" t="str">
        <f>VLOOKUP(Table1[[#This Row],[Eelarvekonto]],Table5[[Konto]:[Kontode alanimetus]],5,FALSE)</f>
        <v>Majandamiskulud</v>
      </c>
      <c r="R690" s="42" t="str">
        <f>VLOOKUP(Table1[[#This Row],[Tegevusala kood]],Table4[[Tegevusala kood]:[Tegevusala alanimetus]],4,FALSE)</f>
        <v>Muu elamu- ja kommunaalmajanduse tegevus</v>
      </c>
      <c r="S690" s="53"/>
      <c r="T690" s="53"/>
      <c r="U690" s="53">
        <f>Table1[[#This Row],[Summa]]+Table1[[#This Row],[I Muudatus]]+Table1[[#This Row],[II Muudatus]]</f>
        <v>1908</v>
      </c>
    </row>
    <row r="691" spans="1:21" ht="14.25" hidden="1" customHeight="1" x14ac:dyDescent="0.25">
      <c r="A691" s="41" t="s">
        <v>573</v>
      </c>
      <c r="B691" s="41">
        <v>488.16</v>
      </c>
      <c r="C691" s="52">
        <v>5511</v>
      </c>
      <c r="D691" s="52" t="str">
        <f>LEFT(Table1[[#This Row],[Eelarvekonto]],2)</f>
        <v>55</v>
      </c>
      <c r="E691" s="41" t="str">
        <f>VLOOKUP(Table1[[#This Row],[Eelarvekonto]],Table5[[Konto]:[Konto nimetus]],2,FALSE)</f>
        <v>Kinnistute, hoonete ja ruumide majandamiskulud</v>
      </c>
      <c r="F691" s="41" t="s">
        <v>139</v>
      </c>
      <c r="G691" s="41" t="s">
        <v>24</v>
      </c>
      <c r="J691" s="41" t="s">
        <v>311</v>
      </c>
      <c r="K691" s="41" t="s">
        <v>81</v>
      </c>
      <c r="L691" s="58" t="s">
        <v>310</v>
      </c>
      <c r="M691" s="58" t="str">
        <f>LEFT(Table1[[#This Row],[Tegevusala kood]],2)</f>
        <v>06</v>
      </c>
      <c r="N691" s="41" t="str">
        <f>VLOOKUP(Table1[[#This Row],[Tegevusala kood]],Table4[[Tegevusala kood]:[Tegevusala alanimetus]],2,FALSE)</f>
        <v>Ulvi, Vinni-Pajusti teeninduspiirkond</v>
      </c>
      <c r="O691" s="41" t="s">
        <v>1</v>
      </c>
      <c r="P691" s="41" t="s">
        <v>1</v>
      </c>
      <c r="Q691" s="41" t="str">
        <f>VLOOKUP(Table1[[#This Row],[Eelarvekonto]],Table5[[Konto]:[Kontode alanimetus]],5,FALSE)</f>
        <v>Majandamiskulud</v>
      </c>
      <c r="R691" s="42" t="str">
        <f>VLOOKUP(Table1[[#This Row],[Tegevusala kood]],Table4[[Tegevusala kood]:[Tegevusala alanimetus]],4,FALSE)</f>
        <v>Muu elamu- ja kommunaalmajanduse tegevus</v>
      </c>
      <c r="S691" s="53"/>
      <c r="T691" s="53"/>
      <c r="U691" s="53">
        <f>Table1[[#This Row],[Summa]]+Table1[[#This Row],[I Muudatus]]+Table1[[#This Row],[II Muudatus]]</f>
        <v>488.16</v>
      </c>
    </row>
    <row r="692" spans="1:21" ht="14.25" hidden="1" customHeight="1" x14ac:dyDescent="0.25">
      <c r="A692" s="41" t="s">
        <v>483</v>
      </c>
      <c r="B692" s="41">
        <v>144</v>
      </c>
      <c r="C692" s="52">
        <v>551102</v>
      </c>
      <c r="D692" s="52" t="str">
        <f>LEFT(Table1[[#This Row],[Eelarvekonto]],2)</f>
        <v>55</v>
      </c>
      <c r="E692" s="41" t="str">
        <f>VLOOKUP(Table1[[#This Row],[Eelarvekonto]],Table5[[Konto]:[Konto nimetus]],2,FALSE)</f>
        <v>Vesi ja kanalisatsioon</v>
      </c>
      <c r="F692" s="41" t="s">
        <v>139</v>
      </c>
      <c r="G692" s="41" t="s">
        <v>24</v>
      </c>
      <c r="J692" s="41" t="s">
        <v>311</v>
      </c>
      <c r="K692" s="41" t="s">
        <v>81</v>
      </c>
      <c r="L692" s="58" t="s">
        <v>310</v>
      </c>
      <c r="M692" s="58" t="str">
        <f>LEFT(Table1[[#This Row],[Tegevusala kood]],2)</f>
        <v>06</v>
      </c>
      <c r="N692" s="41" t="str">
        <f>VLOOKUP(Table1[[#This Row],[Tegevusala kood]],Table4[[Tegevusala kood]:[Tegevusala alanimetus]],2,FALSE)</f>
        <v>Ulvi, Vinni-Pajusti teeninduspiirkond</v>
      </c>
      <c r="O692" s="41" t="s">
        <v>1</v>
      </c>
      <c r="P692" s="41" t="s">
        <v>1</v>
      </c>
      <c r="Q692" s="41" t="str">
        <f>VLOOKUP(Table1[[#This Row],[Eelarvekonto]],Table5[[Konto]:[Kontode alanimetus]],5,FALSE)</f>
        <v>Majandamiskulud</v>
      </c>
      <c r="R692" s="42" t="str">
        <f>VLOOKUP(Table1[[#This Row],[Tegevusala kood]],Table4[[Tegevusala kood]:[Tegevusala alanimetus]],4,FALSE)</f>
        <v>Muu elamu- ja kommunaalmajanduse tegevus</v>
      </c>
      <c r="S692" s="60"/>
      <c r="T692" s="53"/>
      <c r="U692" s="53">
        <f>Table1[[#This Row],[Summa]]+Table1[[#This Row],[I Muudatus]]+Table1[[#This Row],[II Muudatus]]</f>
        <v>144</v>
      </c>
    </row>
    <row r="693" spans="1:21" ht="14.25" hidden="1" customHeight="1" x14ac:dyDescent="0.25">
      <c r="A693" s="41" t="s">
        <v>572</v>
      </c>
      <c r="B693" s="41">
        <v>396</v>
      </c>
      <c r="C693" s="52">
        <v>5514</v>
      </c>
      <c r="D693" s="52" t="str">
        <f>LEFT(Table1[[#This Row],[Eelarvekonto]],2)</f>
        <v>55</v>
      </c>
      <c r="E693" s="41" t="str">
        <f>VLOOKUP(Table1[[#This Row],[Eelarvekonto]],Table5[[Konto]:[Konto nimetus]],2,FALSE)</f>
        <v>Info- ja kommunikatsioonitehnoloogia kulud</v>
      </c>
      <c r="F693" s="41" t="s">
        <v>139</v>
      </c>
      <c r="G693" s="41" t="s">
        <v>24</v>
      </c>
      <c r="J693" s="41" t="s">
        <v>311</v>
      </c>
      <c r="K693" s="41" t="s">
        <v>81</v>
      </c>
      <c r="L693" s="58" t="s">
        <v>310</v>
      </c>
      <c r="M693" s="58" t="str">
        <f>LEFT(Table1[[#This Row],[Tegevusala kood]],2)</f>
        <v>06</v>
      </c>
      <c r="N693" s="41" t="str">
        <f>VLOOKUP(Table1[[#This Row],[Tegevusala kood]],Table4[[Tegevusala kood]:[Tegevusala alanimetus]],2,FALSE)</f>
        <v>Ulvi, Vinni-Pajusti teeninduspiirkond</v>
      </c>
      <c r="O693" s="41" t="s">
        <v>1</v>
      </c>
      <c r="P693" s="41" t="s">
        <v>1</v>
      </c>
      <c r="Q693" s="41" t="str">
        <f>VLOOKUP(Table1[[#This Row],[Eelarvekonto]],Table5[[Konto]:[Kontode alanimetus]],5,FALSE)</f>
        <v>Majandamiskulud</v>
      </c>
      <c r="R693" s="42" t="str">
        <f>VLOOKUP(Table1[[#This Row],[Tegevusala kood]],Table4[[Tegevusala kood]:[Tegevusala alanimetus]],4,FALSE)</f>
        <v>Muu elamu- ja kommunaalmajanduse tegevus</v>
      </c>
      <c r="S693" s="53"/>
      <c r="T693" s="53"/>
      <c r="U693" s="53">
        <f>Table1[[#This Row],[Summa]]+Table1[[#This Row],[I Muudatus]]+Table1[[#This Row],[II Muudatus]]</f>
        <v>396</v>
      </c>
    </row>
    <row r="694" spans="1:21" ht="14.25" hidden="1" customHeight="1" x14ac:dyDescent="0.25">
      <c r="A694" s="41" t="s">
        <v>171</v>
      </c>
      <c r="B694" s="41">
        <v>97.2</v>
      </c>
      <c r="C694" s="52">
        <v>5511</v>
      </c>
      <c r="D694" s="52" t="str">
        <f>LEFT(Table1[[#This Row],[Eelarvekonto]],2)</f>
        <v>55</v>
      </c>
      <c r="E694" s="41" t="str">
        <f>VLOOKUP(Table1[[#This Row],[Eelarvekonto]],Table5[[Konto]:[Konto nimetus]],2,FALSE)</f>
        <v>Kinnistute, hoonete ja ruumide majandamiskulud</v>
      </c>
      <c r="F694" s="41" t="s">
        <v>139</v>
      </c>
      <c r="G694" s="41" t="s">
        <v>24</v>
      </c>
      <c r="J694" s="41" t="s">
        <v>311</v>
      </c>
      <c r="K694" s="41" t="s">
        <v>81</v>
      </c>
      <c r="L694" s="58" t="s">
        <v>310</v>
      </c>
      <c r="M694" s="58" t="str">
        <f>LEFT(Table1[[#This Row],[Tegevusala kood]],2)</f>
        <v>06</v>
      </c>
      <c r="N694" s="41" t="str">
        <f>VLOOKUP(Table1[[#This Row],[Tegevusala kood]],Table4[[Tegevusala kood]:[Tegevusala alanimetus]],2,FALSE)</f>
        <v>Ulvi, Vinni-Pajusti teeninduspiirkond</v>
      </c>
      <c r="O694" s="41" t="s">
        <v>1</v>
      </c>
      <c r="P694" s="41" t="s">
        <v>1</v>
      </c>
      <c r="Q694" s="41" t="str">
        <f>VLOOKUP(Table1[[#This Row],[Eelarvekonto]],Table5[[Konto]:[Kontode alanimetus]],5,FALSE)</f>
        <v>Majandamiskulud</v>
      </c>
      <c r="R694" s="42" t="str">
        <f>VLOOKUP(Table1[[#This Row],[Tegevusala kood]],Table4[[Tegevusala kood]:[Tegevusala alanimetus]],4,FALSE)</f>
        <v>Muu elamu- ja kommunaalmajanduse tegevus</v>
      </c>
      <c r="S694" s="53"/>
      <c r="T694" s="53"/>
      <c r="U694" s="53">
        <f>Table1[[#This Row],[Summa]]+Table1[[#This Row],[I Muudatus]]+Table1[[#This Row],[II Muudatus]]</f>
        <v>97.2</v>
      </c>
    </row>
    <row r="695" spans="1:21" ht="14.25" hidden="1" customHeight="1" x14ac:dyDescent="0.25">
      <c r="A695" s="41" t="s">
        <v>571</v>
      </c>
      <c r="B695" s="41">
        <v>1200</v>
      </c>
      <c r="C695" s="52">
        <v>5511</v>
      </c>
      <c r="D695" s="52" t="str">
        <f>LEFT(Table1[[#This Row],[Eelarvekonto]],2)</f>
        <v>55</v>
      </c>
      <c r="E695" s="41" t="str">
        <f>VLOOKUP(Table1[[#This Row],[Eelarvekonto]],Table5[[Konto]:[Konto nimetus]],2,FALSE)</f>
        <v>Kinnistute, hoonete ja ruumide majandamiskulud</v>
      </c>
      <c r="F695" s="41" t="s">
        <v>139</v>
      </c>
      <c r="G695" s="41" t="s">
        <v>24</v>
      </c>
      <c r="J695" s="41" t="s">
        <v>311</v>
      </c>
      <c r="K695" s="41" t="s">
        <v>81</v>
      </c>
      <c r="L695" s="58" t="s">
        <v>310</v>
      </c>
      <c r="M695" s="58" t="str">
        <f>LEFT(Table1[[#This Row],[Tegevusala kood]],2)</f>
        <v>06</v>
      </c>
      <c r="N695" s="41" t="str">
        <f>VLOOKUP(Table1[[#This Row],[Tegevusala kood]],Table4[[Tegevusala kood]:[Tegevusala alanimetus]],2,FALSE)</f>
        <v>Ulvi, Vinni-Pajusti teeninduspiirkond</v>
      </c>
      <c r="O695" s="41" t="s">
        <v>1</v>
      </c>
      <c r="P695" s="41" t="s">
        <v>1</v>
      </c>
      <c r="Q695" s="41" t="str">
        <f>VLOOKUP(Table1[[#This Row],[Eelarvekonto]],Table5[[Konto]:[Kontode alanimetus]],5,FALSE)</f>
        <v>Majandamiskulud</v>
      </c>
      <c r="R695" s="42" t="str">
        <f>VLOOKUP(Table1[[#This Row],[Tegevusala kood]],Table4[[Tegevusala kood]:[Tegevusala alanimetus]],4,FALSE)</f>
        <v>Muu elamu- ja kommunaalmajanduse tegevus</v>
      </c>
      <c r="S695" s="53"/>
      <c r="T695" s="53"/>
      <c r="U695" s="53">
        <f>Table1[[#This Row],[Summa]]+Table1[[#This Row],[I Muudatus]]+Table1[[#This Row],[II Muudatus]]</f>
        <v>1200</v>
      </c>
    </row>
    <row r="696" spans="1:21" ht="14.25" hidden="1" customHeight="1" x14ac:dyDescent="0.25">
      <c r="A696" s="41" t="s">
        <v>570</v>
      </c>
      <c r="B696" s="41">
        <v>384</v>
      </c>
      <c r="C696" s="52">
        <v>5500</v>
      </c>
      <c r="D696" s="52" t="str">
        <f>LEFT(Table1[[#This Row],[Eelarvekonto]],2)</f>
        <v>55</v>
      </c>
      <c r="E696" s="41" t="str">
        <f>VLOOKUP(Table1[[#This Row],[Eelarvekonto]],Table5[[Konto]:[Konto nimetus]],2,FALSE)</f>
        <v>Administreerimiskulud</v>
      </c>
      <c r="F696" s="41" t="s">
        <v>139</v>
      </c>
      <c r="G696" s="41" t="s">
        <v>24</v>
      </c>
      <c r="J696" s="41" t="s">
        <v>311</v>
      </c>
      <c r="K696" s="41" t="s">
        <v>81</v>
      </c>
      <c r="L696" s="58" t="s">
        <v>310</v>
      </c>
      <c r="M696" s="58" t="str">
        <f>LEFT(Table1[[#This Row],[Tegevusala kood]],2)</f>
        <v>06</v>
      </c>
      <c r="N696" s="41" t="str">
        <f>VLOOKUP(Table1[[#This Row],[Tegevusala kood]],Table4[[Tegevusala kood]:[Tegevusala alanimetus]],2,FALSE)</f>
        <v>Ulvi, Vinni-Pajusti teeninduspiirkond</v>
      </c>
      <c r="O696" s="41" t="s">
        <v>1</v>
      </c>
      <c r="P696" s="41" t="s">
        <v>1</v>
      </c>
      <c r="Q696" s="41" t="str">
        <f>VLOOKUP(Table1[[#This Row],[Eelarvekonto]],Table5[[Konto]:[Kontode alanimetus]],5,FALSE)</f>
        <v>Majandamiskulud</v>
      </c>
      <c r="R696" s="42" t="str">
        <f>VLOOKUP(Table1[[#This Row],[Tegevusala kood]],Table4[[Tegevusala kood]:[Tegevusala alanimetus]],4,FALSE)</f>
        <v>Muu elamu- ja kommunaalmajanduse tegevus</v>
      </c>
      <c r="S696" s="53"/>
      <c r="T696" s="53"/>
      <c r="U696" s="53">
        <f>Table1[[#This Row],[Summa]]+Table1[[#This Row],[I Muudatus]]+Table1[[#This Row],[II Muudatus]]</f>
        <v>384</v>
      </c>
    </row>
    <row r="697" spans="1:21" ht="14.25" hidden="1" customHeight="1" x14ac:dyDescent="0.25">
      <c r="A697" s="41" t="s">
        <v>479</v>
      </c>
      <c r="B697" s="41">
        <v>900</v>
      </c>
      <c r="C697" s="52">
        <v>551102</v>
      </c>
      <c r="D697" s="52" t="str">
        <f>LEFT(Table1[[#This Row],[Eelarvekonto]],2)</f>
        <v>55</v>
      </c>
      <c r="E697" s="41" t="str">
        <f>VLOOKUP(Table1[[#This Row],[Eelarvekonto]],Table5[[Konto]:[Konto nimetus]],2,FALSE)</f>
        <v>Vesi ja kanalisatsioon</v>
      </c>
      <c r="F697" s="41" t="s">
        <v>139</v>
      </c>
      <c r="G697" s="41" t="s">
        <v>24</v>
      </c>
      <c r="J697" s="41" t="s">
        <v>311</v>
      </c>
      <c r="K697" s="41" t="s">
        <v>81</v>
      </c>
      <c r="L697" s="58" t="s">
        <v>310</v>
      </c>
      <c r="M697" s="58" t="str">
        <f>LEFT(Table1[[#This Row],[Tegevusala kood]],2)</f>
        <v>06</v>
      </c>
      <c r="N697" s="41" t="str">
        <f>VLOOKUP(Table1[[#This Row],[Tegevusala kood]],Table4[[Tegevusala kood]:[Tegevusala alanimetus]],2,FALSE)</f>
        <v>Ulvi, Vinni-Pajusti teeninduspiirkond</v>
      </c>
      <c r="O697" s="41" t="s">
        <v>1</v>
      </c>
      <c r="P697" s="41" t="s">
        <v>1</v>
      </c>
      <c r="Q697" s="41" t="str">
        <f>VLOOKUP(Table1[[#This Row],[Eelarvekonto]],Table5[[Konto]:[Kontode alanimetus]],5,FALSE)</f>
        <v>Majandamiskulud</v>
      </c>
      <c r="R697" s="42" t="str">
        <f>VLOOKUP(Table1[[#This Row],[Tegevusala kood]],Table4[[Tegevusala kood]:[Tegevusala alanimetus]],4,FALSE)</f>
        <v>Muu elamu- ja kommunaalmajanduse tegevus</v>
      </c>
      <c r="S697" s="53"/>
      <c r="T697" s="53"/>
      <c r="U697" s="53">
        <f>Table1[[#This Row],[Summa]]+Table1[[#This Row],[I Muudatus]]+Table1[[#This Row],[II Muudatus]]</f>
        <v>900</v>
      </c>
    </row>
    <row r="698" spans="1:21" ht="14.25" hidden="1" customHeight="1" x14ac:dyDescent="0.25">
      <c r="A698" s="41" t="s">
        <v>569</v>
      </c>
      <c r="B698" s="41">
        <v>600</v>
      </c>
      <c r="C698" s="52">
        <v>5511</v>
      </c>
      <c r="D698" s="52" t="str">
        <f>LEFT(Table1[[#This Row],[Eelarvekonto]],2)</f>
        <v>55</v>
      </c>
      <c r="E698" s="41" t="str">
        <f>VLOOKUP(Table1[[#This Row],[Eelarvekonto]],Table5[[Konto]:[Konto nimetus]],2,FALSE)</f>
        <v>Kinnistute, hoonete ja ruumide majandamiskulud</v>
      </c>
      <c r="F698" s="41" t="s">
        <v>139</v>
      </c>
      <c r="G698" s="41" t="s">
        <v>24</v>
      </c>
      <c r="J698" s="41" t="s">
        <v>311</v>
      </c>
      <c r="K698" s="41" t="s">
        <v>81</v>
      </c>
      <c r="L698" s="58" t="s">
        <v>310</v>
      </c>
      <c r="M698" s="58" t="str">
        <f>LEFT(Table1[[#This Row],[Tegevusala kood]],2)</f>
        <v>06</v>
      </c>
      <c r="N698" s="41" t="str">
        <f>VLOOKUP(Table1[[#This Row],[Tegevusala kood]],Table4[[Tegevusala kood]:[Tegevusala alanimetus]],2,FALSE)</f>
        <v>Ulvi, Vinni-Pajusti teeninduspiirkond</v>
      </c>
      <c r="O698" s="41" t="s">
        <v>1</v>
      </c>
      <c r="P698" s="41" t="s">
        <v>1</v>
      </c>
      <c r="Q698" s="41" t="str">
        <f>VLOOKUP(Table1[[#This Row],[Eelarvekonto]],Table5[[Konto]:[Kontode alanimetus]],5,FALSE)</f>
        <v>Majandamiskulud</v>
      </c>
      <c r="R698" s="42" t="str">
        <f>VLOOKUP(Table1[[#This Row],[Tegevusala kood]],Table4[[Tegevusala kood]:[Tegevusala alanimetus]],4,FALSE)</f>
        <v>Muu elamu- ja kommunaalmajanduse tegevus</v>
      </c>
      <c r="S698" s="53"/>
      <c r="T698" s="53"/>
      <c r="U698" s="53">
        <f>Table1[[#This Row],[Summa]]+Table1[[#This Row],[I Muudatus]]+Table1[[#This Row],[II Muudatus]]</f>
        <v>600</v>
      </c>
    </row>
    <row r="699" spans="1:21" ht="14.25" hidden="1" customHeight="1" x14ac:dyDescent="0.25">
      <c r="A699" s="41" t="s">
        <v>149</v>
      </c>
      <c r="B699" s="41">
        <v>5400</v>
      </c>
      <c r="C699" s="52">
        <v>551101</v>
      </c>
      <c r="D699" s="52" t="str">
        <f>LEFT(Table1[[#This Row],[Eelarvekonto]],2)</f>
        <v>55</v>
      </c>
      <c r="E699" s="41" t="str">
        <f>VLOOKUP(Table1[[#This Row],[Eelarvekonto]],Table5[[Konto]:[Konto nimetus]],2,FALSE)</f>
        <v>Elekter</v>
      </c>
      <c r="F699" s="41" t="s">
        <v>139</v>
      </c>
      <c r="G699" s="41" t="s">
        <v>24</v>
      </c>
      <c r="J699" s="41" t="s">
        <v>311</v>
      </c>
      <c r="K699" s="41" t="s">
        <v>81</v>
      </c>
      <c r="L699" s="58" t="s">
        <v>310</v>
      </c>
      <c r="M699" s="58" t="str">
        <f>LEFT(Table1[[#This Row],[Tegevusala kood]],2)</f>
        <v>06</v>
      </c>
      <c r="N699" s="41" t="str">
        <f>VLOOKUP(Table1[[#This Row],[Tegevusala kood]],Table4[[Tegevusala kood]:[Tegevusala alanimetus]],2,FALSE)</f>
        <v>Ulvi, Vinni-Pajusti teeninduspiirkond</v>
      </c>
      <c r="O699" s="41" t="s">
        <v>1</v>
      </c>
      <c r="P699" s="41" t="s">
        <v>1</v>
      </c>
      <c r="Q699" s="41" t="str">
        <f>VLOOKUP(Table1[[#This Row],[Eelarvekonto]],Table5[[Konto]:[Kontode alanimetus]],5,FALSE)</f>
        <v>Majandamiskulud</v>
      </c>
      <c r="R699" s="42" t="str">
        <f>VLOOKUP(Table1[[#This Row],[Tegevusala kood]],Table4[[Tegevusala kood]:[Tegevusala alanimetus]],4,FALSE)</f>
        <v>Muu elamu- ja kommunaalmajanduse tegevus</v>
      </c>
      <c r="S699" s="53"/>
      <c r="T699" s="53"/>
      <c r="U699" s="53">
        <f>Table1[[#This Row],[Summa]]+Table1[[#This Row],[I Muudatus]]+Table1[[#This Row],[II Muudatus]]</f>
        <v>5400</v>
      </c>
    </row>
    <row r="700" spans="1:21" ht="14.25" hidden="1" customHeight="1" x14ac:dyDescent="0.25">
      <c r="A700" s="41" t="s">
        <v>568</v>
      </c>
      <c r="B700" s="41">
        <v>459.12</v>
      </c>
      <c r="C700" s="52">
        <v>5511</v>
      </c>
      <c r="D700" s="52" t="str">
        <f>LEFT(Table1[[#This Row],[Eelarvekonto]],2)</f>
        <v>55</v>
      </c>
      <c r="E700" s="41" t="str">
        <f>VLOOKUP(Table1[[#This Row],[Eelarvekonto]],Table5[[Konto]:[Konto nimetus]],2,FALSE)</f>
        <v>Kinnistute, hoonete ja ruumide majandamiskulud</v>
      </c>
      <c r="F700" s="41" t="s">
        <v>139</v>
      </c>
      <c r="G700" s="41" t="s">
        <v>24</v>
      </c>
      <c r="J700" s="41" t="s">
        <v>311</v>
      </c>
      <c r="K700" s="41" t="s">
        <v>81</v>
      </c>
      <c r="L700" s="58" t="s">
        <v>310</v>
      </c>
      <c r="M700" s="58" t="str">
        <f>LEFT(Table1[[#This Row],[Tegevusala kood]],2)</f>
        <v>06</v>
      </c>
      <c r="N700" s="41" t="str">
        <f>VLOOKUP(Table1[[#This Row],[Tegevusala kood]],Table4[[Tegevusala kood]:[Tegevusala alanimetus]],2,FALSE)</f>
        <v>Ulvi, Vinni-Pajusti teeninduspiirkond</v>
      </c>
      <c r="O700" s="41" t="s">
        <v>1</v>
      </c>
      <c r="P700" s="41" t="s">
        <v>1</v>
      </c>
      <c r="Q700" s="41" t="str">
        <f>VLOOKUP(Table1[[#This Row],[Eelarvekonto]],Table5[[Konto]:[Kontode alanimetus]],5,FALSE)</f>
        <v>Majandamiskulud</v>
      </c>
      <c r="R700" s="42" t="str">
        <f>VLOOKUP(Table1[[#This Row],[Tegevusala kood]],Table4[[Tegevusala kood]:[Tegevusala alanimetus]],4,FALSE)</f>
        <v>Muu elamu- ja kommunaalmajanduse tegevus</v>
      </c>
      <c r="S700" s="53"/>
      <c r="T700" s="53"/>
      <c r="U700" s="53">
        <f>Table1[[#This Row],[Summa]]+Table1[[#This Row],[I Muudatus]]+Table1[[#This Row],[II Muudatus]]</f>
        <v>459.12</v>
      </c>
    </row>
    <row r="701" spans="1:21" ht="14.25" hidden="1" customHeight="1" x14ac:dyDescent="0.25">
      <c r="A701" s="41" t="s">
        <v>567</v>
      </c>
      <c r="B701" s="41">
        <v>2466.7199999999998</v>
      </c>
      <c r="C701" s="52">
        <v>5511</v>
      </c>
      <c r="D701" s="52" t="str">
        <f>LEFT(Table1[[#This Row],[Eelarvekonto]],2)</f>
        <v>55</v>
      </c>
      <c r="E701" s="41" t="str">
        <f>VLOOKUP(Table1[[#This Row],[Eelarvekonto]],Table5[[Konto]:[Konto nimetus]],2,FALSE)</f>
        <v>Kinnistute, hoonete ja ruumide majandamiskulud</v>
      </c>
      <c r="F701" s="41" t="s">
        <v>139</v>
      </c>
      <c r="G701" s="41" t="s">
        <v>24</v>
      </c>
      <c r="J701" s="41" t="s">
        <v>311</v>
      </c>
      <c r="K701" s="41" t="s">
        <v>81</v>
      </c>
      <c r="L701" s="58" t="s">
        <v>310</v>
      </c>
      <c r="M701" s="58" t="str">
        <f>LEFT(Table1[[#This Row],[Tegevusala kood]],2)</f>
        <v>06</v>
      </c>
      <c r="N701" s="41" t="str">
        <f>VLOOKUP(Table1[[#This Row],[Tegevusala kood]],Table4[[Tegevusala kood]:[Tegevusala alanimetus]],2,FALSE)</f>
        <v>Ulvi, Vinni-Pajusti teeninduspiirkond</v>
      </c>
      <c r="O701" s="41" t="s">
        <v>1</v>
      </c>
      <c r="P701" s="41" t="s">
        <v>1</v>
      </c>
      <c r="Q701" s="41" t="str">
        <f>VLOOKUP(Table1[[#This Row],[Eelarvekonto]],Table5[[Konto]:[Kontode alanimetus]],5,FALSE)</f>
        <v>Majandamiskulud</v>
      </c>
      <c r="R701" s="42" t="str">
        <f>VLOOKUP(Table1[[#This Row],[Tegevusala kood]],Table4[[Tegevusala kood]:[Tegevusala alanimetus]],4,FALSE)</f>
        <v>Muu elamu- ja kommunaalmajanduse tegevus</v>
      </c>
      <c r="S701" s="53"/>
      <c r="T701" s="53"/>
      <c r="U701" s="53">
        <f>Table1[[#This Row],[Summa]]+Table1[[#This Row],[I Muudatus]]+Table1[[#This Row],[II Muudatus]]</f>
        <v>2466.7199999999998</v>
      </c>
    </row>
    <row r="702" spans="1:21" ht="14.25" hidden="1" customHeight="1" x14ac:dyDescent="0.25">
      <c r="A702" s="41" t="s">
        <v>566</v>
      </c>
      <c r="B702" s="41">
        <v>7800</v>
      </c>
      <c r="C702" s="52">
        <v>5511</v>
      </c>
      <c r="D702" s="52" t="str">
        <f>LEFT(Table1[[#This Row],[Eelarvekonto]],2)</f>
        <v>55</v>
      </c>
      <c r="E702" s="41" t="str">
        <f>VLOOKUP(Table1[[#This Row],[Eelarvekonto]],Table5[[Konto]:[Konto nimetus]],2,FALSE)</f>
        <v>Kinnistute, hoonete ja ruumide majandamiskulud</v>
      </c>
      <c r="F702" s="41" t="s">
        <v>139</v>
      </c>
      <c r="G702" s="41" t="s">
        <v>24</v>
      </c>
      <c r="J702" s="41" t="s">
        <v>311</v>
      </c>
      <c r="K702" s="41" t="s">
        <v>81</v>
      </c>
      <c r="L702" s="58" t="s">
        <v>310</v>
      </c>
      <c r="M702" s="58" t="str">
        <f>LEFT(Table1[[#This Row],[Tegevusala kood]],2)</f>
        <v>06</v>
      </c>
      <c r="N702" s="41" t="str">
        <f>VLOOKUP(Table1[[#This Row],[Tegevusala kood]],Table4[[Tegevusala kood]:[Tegevusala alanimetus]],2,FALSE)</f>
        <v>Ulvi, Vinni-Pajusti teeninduspiirkond</v>
      </c>
      <c r="O702" s="41" t="s">
        <v>1</v>
      </c>
      <c r="P702" s="41" t="s">
        <v>1</v>
      </c>
      <c r="Q702" s="41" t="str">
        <f>VLOOKUP(Table1[[#This Row],[Eelarvekonto]],Table5[[Konto]:[Kontode alanimetus]],5,FALSE)</f>
        <v>Majandamiskulud</v>
      </c>
      <c r="R702" s="42" t="str">
        <f>VLOOKUP(Table1[[#This Row],[Tegevusala kood]],Table4[[Tegevusala kood]:[Tegevusala alanimetus]],4,FALSE)</f>
        <v>Muu elamu- ja kommunaalmajanduse tegevus</v>
      </c>
      <c r="S702" s="53"/>
      <c r="T702" s="53"/>
      <c r="U702" s="53">
        <f>Table1[[#This Row],[Summa]]+Table1[[#This Row],[I Muudatus]]+Table1[[#This Row],[II Muudatus]]</f>
        <v>7800</v>
      </c>
    </row>
    <row r="703" spans="1:21" ht="14.25" hidden="1" customHeight="1" x14ac:dyDescent="0.25">
      <c r="A703" s="41" t="s">
        <v>1139</v>
      </c>
      <c r="B703" s="41">
        <v>6000</v>
      </c>
      <c r="C703" s="52">
        <v>5002</v>
      </c>
      <c r="D703" s="52" t="str">
        <f>LEFT(Table1[[#This Row],[Eelarvekonto]],2)</f>
        <v>50</v>
      </c>
      <c r="E703" s="41" t="str">
        <f>VLOOKUP(Table1[[#This Row],[Eelarvekonto]],Table5[[Konto]:[Konto nimetus]],2,FALSE)</f>
        <v>Töötajate töötasud</v>
      </c>
      <c r="F703" s="41" t="s">
        <v>139</v>
      </c>
      <c r="G703" s="41" t="s">
        <v>24</v>
      </c>
      <c r="J703" s="41" t="s">
        <v>311</v>
      </c>
      <c r="K703" s="41" t="s">
        <v>81</v>
      </c>
      <c r="L703" s="58" t="s">
        <v>310</v>
      </c>
      <c r="M703" s="58" t="str">
        <f>LEFT(Table1[[#This Row],[Tegevusala kood]],2)</f>
        <v>06</v>
      </c>
      <c r="N703" s="41" t="str">
        <f>VLOOKUP(Table1[[#This Row],[Tegevusala kood]],Table4[[Tegevusala kood]:[Tegevusala alanimetus]],2,FALSE)</f>
        <v>Ulvi, Vinni-Pajusti teeninduspiirkond</v>
      </c>
      <c r="O703" s="41" t="s">
        <v>1</v>
      </c>
      <c r="P703" s="41" t="s">
        <v>1</v>
      </c>
      <c r="Q703" s="41" t="str">
        <f>VLOOKUP(Table1[[#This Row],[Eelarvekonto]],Table5[[Konto]:[Kontode alanimetus]],5,FALSE)</f>
        <v>Tööjõukulud</v>
      </c>
      <c r="R703" s="42" t="str">
        <f>VLOOKUP(Table1[[#This Row],[Tegevusala kood]],Table4[[Tegevusala kood]:[Tegevusala alanimetus]],4,FALSE)</f>
        <v>Muu elamu- ja kommunaalmajanduse tegevus</v>
      </c>
      <c r="S703" s="53"/>
      <c r="T703" s="53"/>
      <c r="U703" s="53">
        <f>Table1[[#This Row],[Summa]]+Table1[[#This Row],[I Muudatus]]+Table1[[#This Row],[II Muudatus]]</f>
        <v>6000</v>
      </c>
    </row>
    <row r="704" spans="1:21" ht="14.25" hidden="1" customHeight="1" x14ac:dyDescent="0.25">
      <c r="A704" s="41" t="s">
        <v>565</v>
      </c>
      <c r="B704" s="41">
        <v>19560</v>
      </c>
      <c r="C704" s="52">
        <v>5002</v>
      </c>
      <c r="D704" s="52" t="str">
        <f>LEFT(Table1[[#This Row],[Eelarvekonto]],2)</f>
        <v>50</v>
      </c>
      <c r="E704" s="41" t="str">
        <f>VLOOKUP(Table1[[#This Row],[Eelarvekonto]],Table5[[Konto]:[Konto nimetus]],2,FALSE)</f>
        <v>Töötajate töötasud</v>
      </c>
      <c r="F704" s="41" t="s">
        <v>139</v>
      </c>
      <c r="G704" s="41" t="s">
        <v>24</v>
      </c>
      <c r="J704" s="41" t="s">
        <v>311</v>
      </c>
      <c r="K704" s="41" t="s">
        <v>81</v>
      </c>
      <c r="L704" s="58" t="s">
        <v>310</v>
      </c>
      <c r="M704" s="58" t="str">
        <f>LEFT(Table1[[#This Row],[Tegevusala kood]],2)</f>
        <v>06</v>
      </c>
      <c r="N704" s="41" t="str">
        <f>VLOOKUP(Table1[[#This Row],[Tegevusala kood]],Table4[[Tegevusala kood]:[Tegevusala alanimetus]],2,FALSE)</f>
        <v>Ulvi, Vinni-Pajusti teeninduspiirkond</v>
      </c>
      <c r="O704" s="41" t="s">
        <v>1</v>
      </c>
      <c r="P704" s="41" t="s">
        <v>1</v>
      </c>
      <c r="Q704" s="41" t="str">
        <f>VLOOKUP(Table1[[#This Row],[Eelarvekonto]],Table5[[Konto]:[Kontode alanimetus]],5,FALSE)</f>
        <v>Tööjõukulud</v>
      </c>
      <c r="R704" s="42" t="str">
        <f>VLOOKUP(Table1[[#This Row],[Tegevusala kood]],Table4[[Tegevusala kood]:[Tegevusala alanimetus]],4,FALSE)</f>
        <v>Muu elamu- ja kommunaalmajanduse tegevus</v>
      </c>
      <c r="S704" s="53"/>
      <c r="T704" s="53"/>
      <c r="U704" s="53">
        <f>Table1[[#This Row],[Summa]]+Table1[[#This Row],[I Muudatus]]+Table1[[#This Row],[II Muudatus]]</f>
        <v>19560</v>
      </c>
    </row>
    <row r="705" spans="1:21" ht="14.25" hidden="1" customHeight="1" x14ac:dyDescent="0.25">
      <c r="A705" s="41" t="s">
        <v>471</v>
      </c>
      <c r="B705" s="41">
        <v>7848</v>
      </c>
      <c r="C705" s="52">
        <v>5002</v>
      </c>
      <c r="D705" s="52" t="str">
        <f>LEFT(Table1[[#This Row],[Eelarvekonto]],2)</f>
        <v>50</v>
      </c>
      <c r="E705" s="41" t="str">
        <f>VLOOKUP(Table1[[#This Row],[Eelarvekonto]],Table5[[Konto]:[Konto nimetus]],2,FALSE)</f>
        <v>Töötajate töötasud</v>
      </c>
      <c r="F705" s="41" t="s">
        <v>139</v>
      </c>
      <c r="G705" s="41" t="s">
        <v>24</v>
      </c>
      <c r="J705" s="41" t="s">
        <v>311</v>
      </c>
      <c r="K705" s="41" t="s">
        <v>81</v>
      </c>
      <c r="L705" s="58" t="s">
        <v>310</v>
      </c>
      <c r="M705" s="58" t="str">
        <f>LEFT(Table1[[#This Row],[Tegevusala kood]],2)</f>
        <v>06</v>
      </c>
      <c r="N705" s="41" t="str">
        <f>VLOOKUP(Table1[[#This Row],[Tegevusala kood]],Table4[[Tegevusala kood]:[Tegevusala alanimetus]],2,FALSE)</f>
        <v>Ulvi, Vinni-Pajusti teeninduspiirkond</v>
      </c>
      <c r="O705" s="41" t="s">
        <v>1</v>
      </c>
      <c r="P705" s="41" t="s">
        <v>1</v>
      </c>
      <c r="Q705" s="41" t="str">
        <f>VLOOKUP(Table1[[#This Row],[Eelarvekonto]],Table5[[Konto]:[Kontode alanimetus]],5,FALSE)</f>
        <v>Tööjõukulud</v>
      </c>
      <c r="R705" s="42" t="str">
        <f>VLOOKUP(Table1[[#This Row],[Tegevusala kood]],Table4[[Tegevusala kood]:[Tegevusala alanimetus]],4,FALSE)</f>
        <v>Muu elamu- ja kommunaalmajanduse tegevus</v>
      </c>
      <c r="S705" s="53"/>
      <c r="T705" s="53"/>
      <c r="U705" s="53">
        <f>Table1[[#This Row],[Summa]]+Table1[[#This Row],[I Muudatus]]+Table1[[#This Row],[II Muudatus]]</f>
        <v>7848</v>
      </c>
    </row>
    <row r="706" spans="1:21" ht="14.25" hidden="1" customHeight="1" x14ac:dyDescent="0.25">
      <c r="A706" s="41" t="s">
        <v>525</v>
      </c>
      <c r="B706" s="41">
        <v>5827.31</v>
      </c>
      <c r="C706" s="52">
        <v>551308</v>
      </c>
      <c r="D706" s="52" t="str">
        <f>LEFT(Table1[[#This Row],[Eelarvekonto]],2)</f>
        <v>55</v>
      </c>
      <c r="E706" s="41" t="str">
        <f>VLOOKUP(Table1[[#This Row],[Eelarvekonto]],Table5[[Konto]:[Konto nimetus]],2,FALSE)</f>
        <v>Sõidukite kasutusrent</v>
      </c>
      <c r="F706" s="41" t="s">
        <v>139</v>
      </c>
      <c r="G706" s="41" t="s">
        <v>24</v>
      </c>
      <c r="J706" s="41" t="s">
        <v>311</v>
      </c>
      <c r="K706" s="41" t="s">
        <v>81</v>
      </c>
      <c r="L706" s="58" t="s">
        <v>310</v>
      </c>
      <c r="M706" s="58" t="str">
        <f>LEFT(Table1[[#This Row],[Tegevusala kood]],2)</f>
        <v>06</v>
      </c>
      <c r="N706" s="41" t="str">
        <f>VLOOKUP(Table1[[#This Row],[Tegevusala kood]],Table4[[Tegevusala kood]:[Tegevusala alanimetus]],2,FALSE)</f>
        <v>Ulvi, Vinni-Pajusti teeninduspiirkond</v>
      </c>
      <c r="O706" s="41" t="s">
        <v>1</v>
      </c>
      <c r="P706" s="41" t="s">
        <v>1</v>
      </c>
      <c r="Q706" s="41" t="str">
        <f>VLOOKUP(Table1[[#This Row],[Eelarvekonto]],Table5[[Konto]:[Kontode alanimetus]],5,FALSE)</f>
        <v>Majandamiskulud</v>
      </c>
      <c r="R706" s="42" t="str">
        <f>VLOOKUP(Table1[[#This Row],[Tegevusala kood]],Table4[[Tegevusala kood]:[Tegevusala alanimetus]],4,FALSE)</f>
        <v>Muu elamu- ja kommunaalmajanduse tegevus</v>
      </c>
      <c r="S706" s="53"/>
      <c r="T706" s="53"/>
      <c r="U706" s="53">
        <f>Table1[[#This Row],[Summa]]+Table1[[#This Row],[I Muudatus]]+Table1[[#This Row],[II Muudatus]]</f>
        <v>5827.31</v>
      </c>
    </row>
    <row r="707" spans="1:21" ht="14.25" customHeight="1" x14ac:dyDescent="0.25">
      <c r="A707" s="41" t="s">
        <v>1140</v>
      </c>
      <c r="B707" s="41">
        <v>50000</v>
      </c>
      <c r="C707" s="52">
        <v>1551</v>
      </c>
      <c r="D707" s="52" t="str">
        <f>LEFT(Table1[[#This Row],[Eelarvekonto]],2)</f>
        <v>15</v>
      </c>
      <c r="E707" s="41" t="str">
        <f>VLOOKUP(Table1[[#This Row],[Eelarvekonto]],Table5[[Konto]:[Konto nimetus]],2,FALSE)</f>
        <v>Hooned ja rajatised</v>
      </c>
      <c r="F707" s="41" t="s">
        <v>956</v>
      </c>
      <c r="G707" s="41" t="s">
        <v>891</v>
      </c>
      <c r="J707" s="41" t="s">
        <v>726</v>
      </c>
      <c r="K707" s="41" t="s">
        <v>703</v>
      </c>
      <c r="L707" s="58" t="s">
        <v>250</v>
      </c>
      <c r="M707" s="58" t="str">
        <f>LEFT(Table1[[#This Row],[Tegevusala kood]],2)</f>
        <v>09</v>
      </c>
      <c r="N707" s="41" t="str">
        <f>VLOOKUP(Table1[[#This Row],[Tegevusala kood]],Table4[[Tegevusala kood]:[Tegevusala alanimetus]],2,FALSE)</f>
        <v>Vinni-Pajusti Gümnaasium</v>
      </c>
      <c r="O707" s="41" t="s">
        <v>1</v>
      </c>
      <c r="P707" s="41" t="s">
        <v>1</v>
      </c>
      <c r="Q707" s="41" t="str">
        <f>VLOOKUP(Table1[[#This Row],[Eelarvekonto]],Table5[[Konto]:[Kontode alanimetus]],5,FALSE)</f>
        <v>Põhivara soetus (-)</v>
      </c>
      <c r="R707" s="42" t="str">
        <f>VLOOKUP(Table1[[#This Row],[Tegevusala kood]],Table4[[Tegevusala kood]:[Tegevusala alanimetus]],4,FALSE)</f>
        <v>Põhihariduse otsekulud</v>
      </c>
      <c r="S707" s="53"/>
      <c r="T707" s="53"/>
      <c r="U707" s="53">
        <f>Table1[[#This Row],[Summa]]+Table1[[#This Row],[I Muudatus]]+Table1[[#This Row],[II Muudatus]]</f>
        <v>50000</v>
      </c>
    </row>
    <row r="708" spans="1:21" ht="14.25" hidden="1" customHeight="1" x14ac:dyDescent="0.25">
      <c r="A708" s="41" t="s">
        <v>625</v>
      </c>
      <c r="B708" s="41">
        <v>16000</v>
      </c>
      <c r="C708" s="52">
        <v>4138</v>
      </c>
      <c r="D708" s="52" t="str">
        <f>LEFT(Table1[[#This Row],[Eelarvekonto]],2)</f>
        <v>41</v>
      </c>
      <c r="E708" s="41" t="str">
        <f>VLOOKUP(Table1[[#This Row],[Eelarvekonto]],Table5[[Konto]:[Konto nimetus]],2,FALSE)</f>
        <v>Muud sotsiaalabitoetused</v>
      </c>
      <c r="F708" s="41" t="s">
        <v>139</v>
      </c>
      <c r="G708" s="41" t="s">
        <v>24</v>
      </c>
      <c r="J708" s="41" t="s">
        <v>365</v>
      </c>
      <c r="K708" s="41" t="s">
        <v>364</v>
      </c>
      <c r="L708" s="58" t="s">
        <v>374</v>
      </c>
      <c r="M708" s="58" t="str">
        <f>LEFT(Table1[[#This Row],[Tegevusala kood]],2)</f>
        <v>10</v>
      </c>
      <c r="N708" s="41" t="str">
        <f>VLOOKUP(Table1[[#This Row],[Tegevusala kood]],Table4[[Tegevusala kood]:[Tegevusala alanimetus]],2,FALSE)</f>
        <v>Eluasemeteenused sotsiaalsetele riskirühmadele</v>
      </c>
      <c r="O708" s="41" t="s">
        <v>1</v>
      </c>
      <c r="P708" s="41" t="s">
        <v>1</v>
      </c>
      <c r="Q708" s="41" t="str">
        <f>VLOOKUP(Table1[[#This Row],[Eelarvekonto]],Table5[[Konto]:[Kontode alanimetus]],5,FALSE)</f>
        <v>Sotsiaalabitoetused ja muud toetused füüsilistele isikutele</v>
      </c>
      <c r="R708" s="42" t="str">
        <f>VLOOKUP(Table1[[#This Row],[Tegevusala kood]],Table4[[Tegevusala kood]:[Tegevusala alanimetus]],4,FALSE)</f>
        <v>Eluasemeteenused sotsiaalsetele riskirühmadele</v>
      </c>
      <c r="S708" s="53"/>
      <c r="T708" s="53"/>
      <c r="U708" s="53">
        <f>Table1[[#This Row],[Summa]]+Table1[[#This Row],[I Muudatus]]+Table1[[#This Row],[II Muudatus]]</f>
        <v>16000</v>
      </c>
    </row>
    <row r="709" spans="1:21" ht="14.25" hidden="1" customHeight="1" x14ac:dyDescent="0.25">
      <c r="A709" s="41" t="s">
        <v>687</v>
      </c>
      <c r="B709" s="41">
        <v>662.4</v>
      </c>
      <c r="C709" s="52">
        <v>5514</v>
      </c>
      <c r="D709" s="52" t="str">
        <f>LEFT(Table1[[#This Row],[Eelarvekonto]],2)</f>
        <v>55</v>
      </c>
      <c r="E709" s="41" t="str">
        <f>VLOOKUP(Table1[[#This Row],[Eelarvekonto]],Table5[[Konto]:[Konto nimetus]],2,FALSE)</f>
        <v>Info- ja kommunikatsioonitehnoloogia kulud</v>
      </c>
      <c r="F709" s="41" t="s">
        <v>139</v>
      </c>
      <c r="G709" s="41" t="s">
        <v>24</v>
      </c>
      <c r="J709" s="41" t="s">
        <v>409</v>
      </c>
      <c r="K709" s="41" t="s">
        <v>408</v>
      </c>
      <c r="L709" s="58" t="s">
        <v>685</v>
      </c>
      <c r="M709" s="58" t="str">
        <f>LEFT(Table1[[#This Row],[Tegevusala kood]],2)</f>
        <v>06</v>
      </c>
      <c r="N709" s="41" t="str">
        <f>VLOOKUP(Table1[[#This Row],[Tegevusala kood]],Table4[[Tegevusala kood]:[Tegevusala alanimetus]],2,FALSE)</f>
        <v>Hulkuvad loomad</v>
      </c>
      <c r="O709" s="41" t="s">
        <v>1</v>
      </c>
      <c r="P709" s="41" t="s">
        <v>1</v>
      </c>
      <c r="Q709" s="41" t="str">
        <f>VLOOKUP(Table1[[#This Row],[Eelarvekonto]],Table5[[Konto]:[Kontode alanimetus]],5,FALSE)</f>
        <v>Majandamiskulud</v>
      </c>
      <c r="R709" s="42" t="str">
        <f>VLOOKUP(Table1[[#This Row],[Tegevusala kood]],Table4[[Tegevusala kood]:[Tegevusala alanimetus]],4,FALSE)</f>
        <v>Muu elamu- ja kommunaalmajanduse tegevus</v>
      </c>
      <c r="S709" s="53"/>
      <c r="T709" s="53"/>
      <c r="U709" s="53">
        <f>Table1[[#This Row],[Summa]]+Table1[[#This Row],[I Muudatus]]+Table1[[#This Row],[II Muudatus]]</f>
        <v>662.4</v>
      </c>
    </row>
    <row r="710" spans="1:21" ht="14.25" hidden="1" customHeight="1" x14ac:dyDescent="0.25">
      <c r="A710" s="41" t="s">
        <v>686</v>
      </c>
      <c r="B710" s="41">
        <v>9000</v>
      </c>
      <c r="C710" s="52">
        <v>5511</v>
      </c>
      <c r="D710" s="52" t="str">
        <f>LEFT(Table1[[#This Row],[Eelarvekonto]],2)</f>
        <v>55</v>
      </c>
      <c r="E710" s="41" t="str">
        <f>VLOOKUP(Table1[[#This Row],[Eelarvekonto]],Table5[[Konto]:[Konto nimetus]],2,FALSE)</f>
        <v>Kinnistute, hoonete ja ruumide majandamiskulud</v>
      </c>
      <c r="F710" s="41" t="s">
        <v>139</v>
      </c>
      <c r="G710" s="41" t="s">
        <v>24</v>
      </c>
      <c r="J710" s="41" t="s">
        <v>409</v>
      </c>
      <c r="K710" s="41" t="s">
        <v>408</v>
      </c>
      <c r="L710" s="58" t="s">
        <v>685</v>
      </c>
      <c r="M710" s="58" t="str">
        <f>LEFT(Table1[[#This Row],[Tegevusala kood]],2)</f>
        <v>06</v>
      </c>
      <c r="N710" s="41" t="str">
        <f>VLOOKUP(Table1[[#This Row],[Tegevusala kood]],Table4[[Tegevusala kood]:[Tegevusala alanimetus]],2,FALSE)</f>
        <v>Hulkuvad loomad</v>
      </c>
      <c r="O710" s="41" t="s">
        <v>1</v>
      </c>
      <c r="P710" s="41" t="s">
        <v>1</v>
      </c>
      <c r="Q710" s="41" t="str">
        <f>VLOOKUP(Table1[[#This Row],[Eelarvekonto]],Table5[[Konto]:[Kontode alanimetus]],5,FALSE)</f>
        <v>Majandamiskulud</v>
      </c>
      <c r="R710" s="42" t="str">
        <f>VLOOKUP(Table1[[#This Row],[Tegevusala kood]],Table4[[Tegevusala kood]:[Tegevusala alanimetus]],4,FALSE)</f>
        <v>Muu elamu- ja kommunaalmajanduse tegevus</v>
      </c>
      <c r="S710" s="53"/>
      <c r="T710" s="53"/>
      <c r="U710" s="53">
        <f>Table1[[#This Row],[Summa]]+Table1[[#This Row],[I Muudatus]]+Table1[[#This Row],[II Muudatus]]</f>
        <v>9000</v>
      </c>
    </row>
    <row r="711" spans="1:21" ht="14.25" customHeight="1" x14ac:dyDescent="0.25">
      <c r="A711" s="41" t="s">
        <v>1141</v>
      </c>
      <c r="B711" s="41">
        <v>50000</v>
      </c>
      <c r="C711" s="52">
        <v>1551</v>
      </c>
      <c r="D711" s="52" t="str">
        <f>LEFT(Table1[[#This Row],[Eelarvekonto]],2)</f>
        <v>15</v>
      </c>
      <c r="E711" s="41" t="str">
        <f>VLOOKUP(Table1[[#This Row],[Eelarvekonto]],Table5[[Konto]:[Konto nimetus]],2,FALSE)</f>
        <v>Hooned ja rajatised</v>
      </c>
      <c r="F711" s="41" t="s">
        <v>956</v>
      </c>
      <c r="G711" s="41" t="s">
        <v>891</v>
      </c>
      <c r="J711" s="41" t="s">
        <v>726</v>
      </c>
      <c r="K711" s="41" t="s">
        <v>703</v>
      </c>
      <c r="L711" s="58" t="s">
        <v>725</v>
      </c>
      <c r="M711" s="58" t="str">
        <f>LEFT(Table1[[#This Row],[Tegevusala kood]],2)</f>
        <v>08</v>
      </c>
      <c r="N711" s="41" t="str">
        <f>VLOOKUP(Table1[[#This Row],[Tegevusala kood]],Table4[[Tegevusala kood]:[Tegevusala alanimetus]],2,FALSE)</f>
        <v>Kergliiklusteed</v>
      </c>
      <c r="O711" s="41" t="s">
        <v>1</v>
      </c>
      <c r="P711" s="41" t="s">
        <v>1</v>
      </c>
      <c r="Q711" s="41" t="str">
        <f>VLOOKUP(Table1[[#This Row],[Eelarvekonto]],Table5[[Konto]:[Kontode alanimetus]],5,FALSE)</f>
        <v>Põhivara soetus (-)</v>
      </c>
      <c r="R711" s="42" t="str">
        <f>VLOOKUP(Table1[[#This Row],[Tegevusala kood]],Table4[[Tegevusala kood]:[Tegevusala alanimetus]],4,FALSE)</f>
        <v>Vaba aja üritused</v>
      </c>
      <c r="S711" s="53"/>
      <c r="T711" s="53"/>
      <c r="U711" s="53">
        <f>Table1[[#This Row],[Summa]]+Table1[[#This Row],[I Muudatus]]+Table1[[#This Row],[II Muudatus]]</f>
        <v>50000</v>
      </c>
    </row>
    <row r="712" spans="1:21" ht="14.25" customHeight="1" x14ac:dyDescent="0.25">
      <c r="A712" s="41" t="s">
        <v>896</v>
      </c>
      <c r="B712" s="41">
        <v>185000</v>
      </c>
      <c r="C712" s="52">
        <v>1551</v>
      </c>
      <c r="D712" s="52" t="str">
        <f>LEFT(Table1[[#This Row],[Eelarvekonto]],2)</f>
        <v>15</v>
      </c>
      <c r="E712" s="41" t="str">
        <f>VLOOKUP(Table1[[#This Row],[Eelarvekonto]],Table5[[Konto]:[Konto nimetus]],2,FALSE)</f>
        <v>Hooned ja rajatised</v>
      </c>
      <c r="F712" s="41" t="s">
        <v>956</v>
      </c>
      <c r="G712" s="41" t="s">
        <v>891</v>
      </c>
      <c r="J712" s="41" t="s">
        <v>726</v>
      </c>
      <c r="K712" s="41" t="s">
        <v>703</v>
      </c>
      <c r="L712" s="58" t="s">
        <v>725</v>
      </c>
      <c r="M712" s="58" t="str">
        <f>LEFT(Table1[[#This Row],[Tegevusala kood]],2)</f>
        <v>08</v>
      </c>
      <c r="N712" s="41" t="str">
        <f>VLOOKUP(Table1[[#This Row],[Tegevusala kood]],Table4[[Tegevusala kood]:[Tegevusala alanimetus]],2,FALSE)</f>
        <v>Kergliiklusteed</v>
      </c>
      <c r="O712" s="41" t="s">
        <v>1</v>
      </c>
      <c r="P712" s="41" t="s">
        <v>1</v>
      </c>
      <c r="Q712" s="41" t="str">
        <f>VLOOKUP(Table1[[#This Row],[Eelarvekonto]],Table5[[Konto]:[Kontode alanimetus]],5,FALSE)</f>
        <v>Põhivara soetus (-)</v>
      </c>
      <c r="R712" s="42" t="str">
        <f>VLOOKUP(Table1[[#This Row],[Tegevusala kood]],Table4[[Tegevusala kood]:[Tegevusala alanimetus]],4,FALSE)</f>
        <v>Vaba aja üritused</v>
      </c>
      <c r="S712" s="53"/>
      <c r="T712" s="53"/>
      <c r="U712" s="53">
        <f>Table1[[#This Row],[Summa]]+Table1[[#This Row],[I Muudatus]]+Table1[[#This Row],[II Muudatus]]</f>
        <v>185000</v>
      </c>
    </row>
    <row r="713" spans="1:21" ht="14.25" hidden="1" customHeight="1" x14ac:dyDescent="0.25">
      <c r="A713" s="41" t="s">
        <v>1030</v>
      </c>
      <c r="B713" s="41">
        <v>100</v>
      </c>
      <c r="C713" s="52">
        <v>601</v>
      </c>
      <c r="D713" s="52" t="str">
        <f>LEFT(Table1[[#This Row],[Eelarvekonto]],2)</f>
        <v>60</v>
      </c>
      <c r="E713" s="41" t="str">
        <f>VLOOKUP(Table1[[#This Row],[Eelarvekonto]],Table5[[Konto]:[Konto nimetus]],2,FALSE)</f>
        <v>MAKSU-, LÕIVU-, TRAHVIKULUD</v>
      </c>
      <c r="F713" s="41" t="s">
        <v>139</v>
      </c>
      <c r="G713" s="41" t="s">
        <v>24</v>
      </c>
      <c r="J713" s="41" t="s">
        <v>726</v>
      </c>
      <c r="K713" s="41" t="s">
        <v>703</v>
      </c>
      <c r="L713" s="58" t="s">
        <v>725</v>
      </c>
      <c r="M713" s="58" t="str">
        <f>LEFT(Table1[[#This Row],[Tegevusala kood]],2)</f>
        <v>08</v>
      </c>
      <c r="N713" s="41" t="str">
        <f>VLOOKUP(Table1[[#This Row],[Tegevusala kood]],Table4[[Tegevusala kood]:[Tegevusala alanimetus]],2,FALSE)</f>
        <v>Kergliiklusteed</v>
      </c>
      <c r="O713" s="41" t="s">
        <v>1</v>
      </c>
      <c r="P713" s="41" t="s">
        <v>1</v>
      </c>
      <c r="Q713" s="41" t="str">
        <f>VLOOKUP(Table1[[#This Row],[Eelarvekonto]],Table5[[Konto]:[Kontode alanimetus]],5,FALSE)</f>
        <v>Muud kulud</v>
      </c>
      <c r="R713" s="42" t="str">
        <f>VLOOKUP(Table1[[#This Row],[Tegevusala kood]],Table4[[Tegevusala kood]:[Tegevusala alanimetus]],4,FALSE)</f>
        <v>Vaba aja üritused</v>
      </c>
      <c r="S713" s="53"/>
      <c r="T713" s="53"/>
      <c r="U713" s="53">
        <f>Table1[[#This Row],[Summa]]+Table1[[#This Row],[I Muudatus]]+Table1[[#This Row],[II Muudatus]]</f>
        <v>100</v>
      </c>
    </row>
    <row r="714" spans="1:21" ht="14.25" hidden="1" customHeight="1" x14ac:dyDescent="0.25">
      <c r="A714" s="41" t="s">
        <v>424</v>
      </c>
      <c r="B714" s="41">
        <v>4000</v>
      </c>
      <c r="C714" s="52">
        <v>5512</v>
      </c>
      <c r="D714" s="52" t="str">
        <f>LEFT(Table1[[#This Row],[Eelarvekonto]],2)</f>
        <v>55</v>
      </c>
      <c r="E714" s="41" t="str">
        <f>VLOOKUP(Table1[[#This Row],[Eelarvekonto]],Table5[[Konto]:[Konto nimetus]],2,FALSE)</f>
        <v>Rajatiste majandamiskulud</v>
      </c>
      <c r="F714" s="41" t="s">
        <v>139</v>
      </c>
      <c r="G714" s="41" t="s">
        <v>24</v>
      </c>
      <c r="J714" s="41" t="s">
        <v>726</v>
      </c>
      <c r="K714" s="41" t="s">
        <v>703</v>
      </c>
      <c r="L714" s="58" t="s">
        <v>725</v>
      </c>
      <c r="M714" s="58" t="str">
        <f>LEFT(Table1[[#This Row],[Tegevusala kood]],2)</f>
        <v>08</v>
      </c>
      <c r="N714" s="41" t="str">
        <f>VLOOKUP(Table1[[#This Row],[Tegevusala kood]],Table4[[Tegevusala kood]:[Tegevusala alanimetus]],2,FALSE)</f>
        <v>Kergliiklusteed</v>
      </c>
      <c r="O714" s="41" t="s">
        <v>1</v>
      </c>
      <c r="P714" s="41" t="s">
        <v>1</v>
      </c>
      <c r="Q714" s="41" t="str">
        <f>VLOOKUP(Table1[[#This Row],[Eelarvekonto]],Table5[[Konto]:[Kontode alanimetus]],5,FALSE)</f>
        <v>Majandamiskulud</v>
      </c>
      <c r="R714" s="42" t="str">
        <f>VLOOKUP(Table1[[#This Row],[Tegevusala kood]],Table4[[Tegevusala kood]:[Tegevusala alanimetus]],4,FALSE)</f>
        <v>Vaba aja üritused</v>
      </c>
      <c r="S714" s="53"/>
      <c r="T714" s="53"/>
      <c r="U714" s="53">
        <f>Table1[[#This Row],[Summa]]+Table1[[#This Row],[I Muudatus]]+Table1[[#This Row],[II Muudatus]]</f>
        <v>4000</v>
      </c>
    </row>
    <row r="715" spans="1:21" ht="14.25" hidden="1" customHeight="1" x14ac:dyDescent="0.25">
      <c r="A715" s="41" t="s">
        <v>449</v>
      </c>
      <c r="B715" s="41">
        <f>'EA_aruanne analüüs'!F18*0.005</f>
        <v>59183.656987999995</v>
      </c>
      <c r="C715" s="52">
        <v>608</v>
      </c>
      <c r="D715" s="52" t="str">
        <f>LEFT(Table1[[#This Row],[Eelarvekonto]],2)</f>
        <v>60</v>
      </c>
      <c r="E715" s="41" t="str">
        <f>VLOOKUP(Table1[[#This Row],[Eelarvekonto]],Table5[[Konto]:[Konto nimetus]],2,FALSE)</f>
        <v>Muud tegevuskulud</v>
      </c>
      <c r="F715" s="41" t="s">
        <v>139</v>
      </c>
      <c r="G715" s="41" t="s">
        <v>24</v>
      </c>
      <c r="J715" s="41" t="s">
        <v>139</v>
      </c>
      <c r="K715" s="41" t="s">
        <v>54</v>
      </c>
      <c r="L715" s="58" t="s">
        <v>448</v>
      </c>
      <c r="M715" s="58" t="str">
        <f>LEFT(Table1[[#This Row],[Tegevusala kood]],2)</f>
        <v>01</v>
      </c>
      <c r="N715" s="41" t="str">
        <f>VLOOKUP(Table1[[#This Row],[Tegevusala kood]],Table4[[Tegevusala kood]:[Tegevusala alanimetus]],2,FALSE)</f>
        <v>Kohaliku omavalitsuse üksuse reservfond</v>
      </c>
      <c r="O715" s="41" t="s">
        <v>1</v>
      </c>
      <c r="P715" s="41" t="s">
        <v>1</v>
      </c>
      <c r="Q715" s="41" t="str">
        <f>VLOOKUP(Table1[[#This Row],[Eelarvekonto]],Table5[[Konto]:[Kontode alanimetus]],5,FALSE)</f>
        <v>Muud kulud</v>
      </c>
      <c r="R715" s="42" t="str">
        <f>VLOOKUP(Table1[[#This Row],[Tegevusala kood]],Table4[[Tegevusala kood]:[Tegevusala alanimetus]],4,FALSE)</f>
        <v>Kohaliku omavalitsuse üksuse reservfond</v>
      </c>
      <c r="S715" s="53"/>
      <c r="T715" s="53"/>
      <c r="U715" s="53">
        <f>Table1[[#This Row],[Summa]]+Table1[[#This Row],[I Muudatus]]+Table1[[#This Row],[II Muudatus]]</f>
        <v>59183.656987999995</v>
      </c>
    </row>
    <row r="716" spans="1:21" ht="14.25" customHeight="1" x14ac:dyDescent="0.25">
      <c r="A716" s="41" t="s">
        <v>893</v>
      </c>
      <c r="B716" s="41">
        <v>25000</v>
      </c>
      <c r="C716" s="52">
        <v>1551</v>
      </c>
      <c r="D716" s="52" t="str">
        <f>LEFT(Table1[[#This Row],[Eelarvekonto]],2)</f>
        <v>15</v>
      </c>
      <c r="E716" s="68" t="str">
        <f>VLOOKUP(Table1[[#This Row],[Eelarvekonto]],Table5[[Konto]:[Konto nimetus]],2,FALSE)</f>
        <v>Hooned ja rajatised</v>
      </c>
      <c r="F716" s="68" t="s">
        <v>956</v>
      </c>
      <c r="G716" s="68" t="s">
        <v>891</v>
      </c>
      <c r="J716" s="41" t="s">
        <v>139</v>
      </c>
      <c r="K716" s="41" t="s">
        <v>54</v>
      </c>
      <c r="L716" s="58" t="s">
        <v>448</v>
      </c>
      <c r="M716" s="58" t="str">
        <f>LEFT(Table1[[#This Row],[Tegevusala kood]],2)</f>
        <v>01</v>
      </c>
      <c r="N716" s="41" t="str">
        <f>VLOOKUP(Table1[[#This Row],[Tegevusala kood]],Table4[[Tegevusala kood]:[Tegevusala alanimetus]],2,FALSE)</f>
        <v>Kohaliku omavalitsuse üksuse reservfond</v>
      </c>
      <c r="O716" s="41" t="s">
        <v>1</v>
      </c>
      <c r="P716" s="41" t="s">
        <v>1</v>
      </c>
      <c r="Q716" s="41" t="str">
        <f>VLOOKUP(Table1[[#This Row],[Eelarvekonto]],Table5[[Konto]:[Kontode alanimetus]],5,FALSE)</f>
        <v>Põhivara soetus (-)</v>
      </c>
      <c r="R716" s="42" t="str">
        <f>VLOOKUP(Table1[[#This Row],[Tegevusala kood]],Table4[[Tegevusala kood]:[Tegevusala alanimetus]],4,FALSE)</f>
        <v>Kohaliku omavalitsuse üksuse reservfond</v>
      </c>
      <c r="S716" s="53"/>
      <c r="T716" s="53"/>
      <c r="U716" s="53">
        <f>Table1[[#This Row],[Summa]]+Table1[[#This Row],[I Muudatus]]+Table1[[#This Row],[II Muudatus]]</f>
        <v>25000</v>
      </c>
    </row>
    <row r="717" spans="1:21" ht="14.25" hidden="1" customHeight="1" x14ac:dyDescent="0.25">
      <c r="A717" s="41" t="s">
        <v>721</v>
      </c>
      <c r="B717" s="41">
        <v>581</v>
      </c>
      <c r="C717" s="52">
        <v>4134</v>
      </c>
      <c r="D717" s="52" t="str">
        <f>LEFT(Table1[[#This Row],[Eelarvekonto]],2)</f>
        <v>41</v>
      </c>
      <c r="E717" s="41" t="str">
        <f>VLOOKUP(Table1[[#This Row],[Eelarvekonto]],Table5[[Konto]:[Konto nimetus]],2,FALSE)</f>
        <v>Õppetoetused</v>
      </c>
      <c r="F717" s="41" t="s">
        <v>139</v>
      </c>
      <c r="G717" s="41" t="s">
        <v>24</v>
      </c>
      <c r="J717" s="41" t="s">
        <v>423</v>
      </c>
      <c r="K717" s="41" t="s">
        <v>422</v>
      </c>
      <c r="L717" s="58" t="s">
        <v>711</v>
      </c>
      <c r="M717" s="58" t="str">
        <f>LEFT(Table1[[#This Row],[Tegevusala kood]],2)</f>
        <v>09</v>
      </c>
      <c r="N717" s="41" t="str">
        <f>VLOOKUP(Table1[[#This Row],[Tegevusala kood]],Table4[[Tegevusala kood]:[Tegevusala alanimetus]],2,FALSE)</f>
        <v>Koolitransport</v>
      </c>
      <c r="O717" s="41" t="s">
        <v>1</v>
      </c>
      <c r="P717" s="41" t="s">
        <v>1</v>
      </c>
      <c r="Q717" s="41" t="str">
        <f>VLOOKUP(Table1[[#This Row],[Eelarvekonto]],Table5[[Konto]:[Kontode alanimetus]],5,FALSE)</f>
        <v>Sotsiaalabitoetused ja muud toetused füüsilistele isikutele</v>
      </c>
      <c r="R717" s="42" t="str">
        <f>VLOOKUP(Table1[[#This Row],[Tegevusala kood]],Table4[[Tegevusala kood]:[Tegevusala alanimetus]],4,FALSE)</f>
        <v>Koolitransport</v>
      </c>
      <c r="S717" s="53"/>
      <c r="T717" s="53"/>
      <c r="U717" s="53">
        <f>Table1[[#This Row],[Summa]]+Table1[[#This Row],[I Muudatus]]+Table1[[#This Row],[II Muudatus]]</f>
        <v>581</v>
      </c>
    </row>
    <row r="718" spans="1:21" ht="14.25" hidden="1" customHeight="1" x14ac:dyDescent="0.25">
      <c r="A718" s="41" t="s">
        <v>188</v>
      </c>
      <c r="B718" s="41">
        <v>400</v>
      </c>
      <c r="C718" s="52">
        <v>5540</v>
      </c>
      <c r="D718" s="52" t="str">
        <f>LEFT(Table1[[#This Row],[Eelarvekonto]],2)</f>
        <v>55</v>
      </c>
      <c r="E718" s="41" t="str">
        <f>VLOOKUP(Table1[[#This Row],[Eelarvekonto]],Table5[[Konto]:[Konto nimetus]],2,FALSE)</f>
        <v>Mitmesugused majanduskulud</v>
      </c>
      <c r="F718" s="41" t="s">
        <v>139</v>
      </c>
      <c r="G718" s="41" t="s">
        <v>24</v>
      </c>
      <c r="J718" s="41" t="s">
        <v>423</v>
      </c>
      <c r="K718" s="41" t="s">
        <v>422</v>
      </c>
      <c r="L718" s="58" t="s">
        <v>711</v>
      </c>
      <c r="M718" s="58" t="str">
        <f>LEFT(Table1[[#This Row],[Tegevusala kood]],2)</f>
        <v>09</v>
      </c>
      <c r="N718" s="41" t="str">
        <f>VLOOKUP(Table1[[#This Row],[Tegevusala kood]],Table4[[Tegevusala kood]:[Tegevusala alanimetus]],2,FALSE)</f>
        <v>Koolitransport</v>
      </c>
      <c r="O718" s="41" t="s">
        <v>1</v>
      </c>
      <c r="P718" s="41" t="s">
        <v>1</v>
      </c>
      <c r="Q718" s="41" t="str">
        <f>VLOOKUP(Table1[[#This Row],[Eelarvekonto]],Table5[[Konto]:[Kontode alanimetus]],5,FALSE)</f>
        <v>Majandamiskulud</v>
      </c>
      <c r="R718" s="42" t="str">
        <f>VLOOKUP(Table1[[#This Row],[Tegevusala kood]],Table4[[Tegevusala kood]:[Tegevusala alanimetus]],4,FALSE)</f>
        <v>Koolitransport</v>
      </c>
      <c r="S718" s="53"/>
      <c r="T718" s="53"/>
      <c r="U718" s="53">
        <f>Table1[[#This Row],[Summa]]+Table1[[#This Row],[I Muudatus]]+Table1[[#This Row],[II Muudatus]]</f>
        <v>400</v>
      </c>
    </row>
    <row r="719" spans="1:21" ht="14.25" hidden="1" customHeight="1" x14ac:dyDescent="0.25">
      <c r="A719" s="41" t="s">
        <v>720</v>
      </c>
      <c r="B719" s="41">
        <v>2550</v>
      </c>
      <c r="C719" s="52">
        <v>4134</v>
      </c>
      <c r="D719" s="52" t="str">
        <f>LEFT(Table1[[#This Row],[Eelarvekonto]],2)</f>
        <v>41</v>
      </c>
      <c r="E719" s="41" t="str">
        <f>VLOOKUP(Table1[[#This Row],[Eelarvekonto]],Table5[[Konto]:[Konto nimetus]],2,FALSE)</f>
        <v>Õppetoetused</v>
      </c>
      <c r="F719" s="41" t="s">
        <v>139</v>
      </c>
      <c r="G719" s="41" t="s">
        <v>24</v>
      </c>
      <c r="J719" s="41" t="s">
        <v>423</v>
      </c>
      <c r="K719" s="41" t="s">
        <v>422</v>
      </c>
      <c r="L719" s="58" t="s">
        <v>711</v>
      </c>
      <c r="M719" s="58" t="str">
        <f>LEFT(Table1[[#This Row],[Tegevusala kood]],2)</f>
        <v>09</v>
      </c>
      <c r="N719" s="41" t="str">
        <f>VLOOKUP(Table1[[#This Row],[Tegevusala kood]],Table4[[Tegevusala kood]:[Tegevusala alanimetus]],2,FALSE)</f>
        <v>Koolitransport</v>
      </c>
      <c r="O719" s="41" t="s">
        <v>1</v>
      </c>
      <c r="P719" s="41" t="s">
        <v>1</v>
      </c>
      <c r="Q719" s="41" t="str">
        <f>VLOOKUP(Table1[[#This Row],[Eelarvekonto]],Table5[[Konto]:[Kontode alanimetus]],5,FALSE)</f>
        <v>Sotsiaalabitoetused ja muud toetused füüsilistele isikutele</v>
      </c>
      <c r="R719" s="42" t="str">
        <f>VLOOKUP(Table1[[#This Row],[Tegevusala kood]],Table4[[Tegevusala kood]:[Tegevusala alanimetus]],4,FALSE)</f>
        <v>Koolitransport</v>
      </c>
      <c r="S719" s="53"/>
      <c r="T719" s="53"/>
      <c r="U719" s="53">
        <f>Table1[[#This Row],[Summa]]+Table1[[#This Row],[I Muudatus]]+Table1[[#This Row],[II Muudatus]]</f>
        <v>2550</v>
      </c>
    </row>
    <row r="720" spans="1:21" ht="14.25" hidden="1" customHeight="1" x14ac:dyDescent="0.25">
      <c r="A720" s="41" t="s">
        <v>719</v>
      </c>
      <c r="B720" s="41">
        <v>35000</v>
      </c>
      <c r="C720" s="52">
        <v>4134</v>
      </c>
      <c r="D720" s="52" t="str">
        <f>LEFT(Table1[[#This Row],[Eelarvekonto]],2)</f>
        <v>41</v>
      </c>
      <c r="E720" s="41" t="str">
        <f>VLOOKUP(Table1[[#This Row],[Eelarvekonto]],Table5[[Konto]:[Konto nimetus]],2,FALSE)</f>
        <v>Õppetoetused</v>
      </c>
      <c r="F720" s="41" t="s">
        <v>139</v>
      </c>
      <c r="G720" s="41" t="s">
        <v>24</v>
      </c>
      <c r="J720" s="41" t="s">
        <v>423</v>
      </c>
      <c r="K720" s="41" t="s">
        <v>422</v>
      </c>
      <c r="L720" s="58" t="s">
        <v>711</v>
      </c>
      <c r="M720" s="58" t="str">
        <f>LEFT(Table1[[#This Row],[Tegevusala kood]],2)</f>
        <v>09</v>
      </c>
      <c r="N720" s="41" t="str">
        <f>VLOOKUP(Table1[[#This Row],[Tegevusala kood]],Table4[[Tegevusala kood]:[Tegevusala alanimetus]],2,FALSE)</f>
        <v>Koolitransport</v>
      </c>
      <c r="O720" s="41" t="s">
        <v>1</v>
      </c>
      <c r="P720" s="41" t="s">
        <v>1</v>
      </c>
      <c r="Q720" s="41" t="str">
        <f>VLOOKUP(Table1[[#This Row],[Eelarvekonto]],Table5[[Konto]:[Kontode alanimetus]],5,FALSE)</f>
        <v>Sotsiaalabitoetused ja muud toetused füüsilistele isikutele</v>
      </c>
      <c r="R720" s="42" t="str">
        <f>VLOOKUP(Table1[[#This Row],[Tegevusala kood]],Table4[[Tegevusala kood]:[Tegevusala alanimetus]],4,FALSE)</f>
        <v>Koolitransport</v>
      </c>
      <c r="S720" s="53"/>
      <c r="T720" s="53"/>
      <c r="U720" s="53">
        <f>Table1[[#This Row],[Summa]]+Table1[[#This Row],[I Muudatus]]+Table1[[#This Row],[II Muudatus]]</f>
        <v>35000</v>
      </c>
    </row>
    <row r="721" spans="1:21" ht="14.25" hidden="1" customHeight="1" x14ac:dyDescent="0.25">
      <c r="A721" s="41" t="s">
        <v>718</v>
      </c>
      <c r="B721" s="41">
        <v>200</v>
      </c>
      <c r="C721" s="52">
        <v>5513</v>
      </c>
      <c r="D721" s="52" t="str">
        <f>LEFT(Table1[[#This Row],[Eelarvekonto]],2)</f>
        <v>55</v>
      </c>
      <c r="E721" s="41" t="str">
        <f>VLOOKUP(Table1[[#This Row],[Eelarvekonto]],Table5[[Konto]:[Konto nimetus]],2,FALSE)</f>
        <v>Sõidukite ülalpidamise kulud</v>
      </c>
      <c r="F721" s="41" t="s">
        <v>139</v>
      </c>
      <c r="G721" s="41" t="s">
        <v>24</v>
      </c>
      <c r="J721" s="41" t="s">
        <v>423</v>
      </c>
      <c r="K721" s="41" t="s">
        <v>422</v>
      </c>
      <c r="L721" s="58" t="s">
        <v>711</v>
      </c>
      <c r="M721" s="58" t="str">
        <f>LEFT(Table1[[#This Row],[Tegevusala kood]],2)</f>
        <v>09</v>
      </c>
      <c r="N721" s="41" t="str">
        <f>VLOOKUP(Table1[[#This Row],[Tegevusala kood]],Table4[[Tegevusala kood]:[Tegevusala alanimetus]],2,FALSE)</f>
        <v>Koolitransport</v>
      </c>
      <c r="O721" s="41" t="s">
        <v>1</v>
      </c>
      <c r="P721" s="41" t="s">
        <v>1</v>
      </c>
      <c r="Q721" s="41" t="str">
        <f>VLOOKUP(Table1[[#This Row],[Eelarvekonto]],Table5[[Konto]:[Kontode alanimetus]],5,FALSE)</f>
        <v>Majandamiskulud</v>
      </c>
      <c r="R721" s="42" t="str">
        <f>VLOOKUP(Table1[[#This Row],[Tegevusala kood]],Table4[[Tegevusala kood]:[Tegevusala alanimetus]],4,FALSE)</f>
        <v>Koolitransport</v>
      </c>
      <c r="S721" s="53"/>
      <c r="T721" s="53"/>
      <c r="U721" s="53">
        <f>Table1[[#This Row],[Summa]]+Table1[[#This Row],[I Muudatus]]+Table1[[#This Row],[II Muudatus]]</f>
        <v>200</v>
      </c>
    </row>
    <row r="722" spans="1:21" ht="14.25" hidden="1" customHeight="1" x14ac:dyDescent="0.25">
      <c r="A722" s="41" t="s">
        <v>717</v>
      </c>
      <c r="B722" s="41">
        <v>90</v>
      </c>
      <c r="C722" s="52">
        <v>5513</v>
      </c>
      <c r="D722" s="52" t="str">
        <f>LEFT(Table1[[#This Row],[Eelarvekonto]],2)</f>
        <v>55</v>
      </c>
      <c r="E722" s="41" t="str">
        <f>VLOOKUP(Table1[[#This Row],[Eelarvekonto]],Table5[[Konto]:[Konto nimetus]],2,FALSE)</f>
        <v>Sõidukite ülalpidamise kulud</v>
      </c>
      <c r="F722" s="41" t="s">
        <v>139</v>
      </c>
      <c r="G722" s="41" t="s">
        <v>24</v>
      </c>
      <c r="J722" s="41" t="s">
        <v>423</v>
      </c>
      <c r="K722" s="41" t="s">
        <v>422</v>
      </c>
      <c r="L722" s="58" t="s">
        <v>711</v>
      </c>
      <c r="M722" s="58" t="str">
        <f>LEFT(Table1[[#This Row],[Tegevusala kood]],2)</f>
        <v>09</v>
      </c>
      <c r="N722" s="41" t="str">
        <f>VLOOKUP(Table1[[#This Row],[Tegevusala kood]],Table4[[Tegevusala kood]:[Tegevusala alanimetus]],2,FALSE)</f>
        <v>Koolitransport</v>
      </c>
      <c r="O722" s="41" t="s">
        <v>1</v>
      </c>
      <c r="P722" s="41" t="s">
        <v>1</v>
      </c>
      <c r="Q722" s="41" t="str">
        <f>VLOOKUP(Table1[[#This Row],[Eelarvekonto]],Table5[[Konto]:[Kontode alanimetus]],5,FALSE)</f>
        <v>Majandamiskulud</v>
      </c>
      <c r="R722" s="42" t="str">
        <f>VLOOKUP(Table1[[#This Row],[Tegevusala kood]],Table4[[Tegevusala kood]:[Tegevusala alanimetus]],4,FALSE)</f>
        <v>Koolitransport</v>
      </c>
      <c r="S722" s="53"/>
      <c r="T722" s="53"/>
      <c r="U722" s="53">
        <f>Table1[[#This Row],[Summa]]+Table1[[#This Row],[I Muudatus]]+Table1[[#This Row],[II Muudatus]]</f>
        <v>90</v>
      </c>
    </row>
    <row r="723" spans="1:21" ht="14.25" hidden="1" customHeight="1" x14ac:dyDescent="0.25">
      <c r="A723" s="41" t="s">
        <v>1414</v>
      </c>
      <c r="B723" s="41">
        <v>27000</v>
      </c>
      <c r="C723" s="52">
        <v>551300</v>
      </c>
      <c r="D723" s="52" t="str">
        <f>LEFT(Table1[[#This Row],[Eelarvekonto]],2)</f>
        <v>55</v>
      </c>
      <c r="E723" s="41" t="str">
        <f>VLOOKUP(Table1[[#This Row],[Eelarvekonto]],Table5[[Konto]:[Konto nimetus]],2,FALSE)</f>
        <v>Kütus</v>
      </c>
      <c r="F723" s="41" t="s">
        <v>139</v>
      </c>
      <c r="G723" s="41" t="s">
        <v>24</v>
      </c>
      <c r="J723" s="41" t="s">
        <v>423</v>
      </c>
      <c r="K723" s="41" t="s">
        <v>422</v>
      </c>
      <c r="L723" s="58" t="s">
        <v>711</v>
      </c>
      <c r="M723" s="58" t="str">
        <f>LEFT(Table1[[#This Row],[Tegevusala kood]],2)</f>
        <v>09</v>
      </c>
      <c r="N723" s="41" t="str">
        <f>VLOOKUP(Table1[[#This Row],[Tegevusala kood]],Table4[[Tegevusala kood]:[Tegevusala alanimetus]],2,FALSE)</f>
        <v>Koolitransport</v>
      </c>
      <c r="O723" s="41" t="s">
        <v>1</v>
      </c>
      <c r="P723" s="41" t="s">
        <v>1</v>
      </c>
      <c r="Q723" s="41" t="str">
        <f>VLOOKUP(Table1[[#This Row],[Eelarvekonto]],Table5[[Konto]:[Kontode alanimetus]],5,FALSE)</f>
        <v>Majandamiskulud</v>
      </c>
      <c r="R723" s="42" t="str">
        <f>VLOOKUP(Table1[[#This Row],[Tegevusala kood]],Table4[[Tegevusala kood]:[Tegevusala alanimetus]],4,FALSE)</f>
        <v>Koolitransport</v>
      </c>
      <c r="S723" s="53"/>
      <c r="T723" s="53"/>
      <c r="U723" s="53">
        <f>Table1[[#This Row],[Summa]]+Table1[[#This Row],[I Muudatus]]+Table1[[#This Row],[II Muudatus]]</f>
        <v>27000</v>
      </c>
    </row>
    <row r="724" spans="1:21" ht="14.25" hidden="1" customHeight="1" x14ac:dyDescent="0.25">
      <c r="A724" s="41" t="s">
        <v>716</v>
      </c>
      <c r="B724" s="41">
        <v>780</v>
      </c>
      <c r="C724" s="52">
        <v>5513</v>
      </c>
      <c r="D724" s="52" t="str">
        <f>LEFT(Table1[[#This Row],[Eelarvekonto]],2)</f>
        <v>55</v>
      </c>
      <c r="E724" s="41" t="str">
        <f>VLOOKUP(Table1[[#This Row],[Eelarvekonto]],Table5[[Konto]:[Konto nimetus]],2,FALSE)</f>
        <v>Sõidukite ülalpidamise kulud</v>
      </c>
      <c r="F724" s="41" t="s">
        <v>139</v>
      </c>
      <c r="G724" s="41" t="s">
        <v>24</v>
      </c>
      <c r="J724" s="41" t="s">
        <v>423</v>
      </c>
      <c r="K724" s="41" t="s">
        <v>422</v>
      </c>
      <c r="L724" s="58" t="s">
        <v>711</v>
      </c>
      <c r="M724" s="58" t="str">
        <f>LEFT(Table1[[#This Row],[Tegevusala kood]],2)</f>
        <v>09</v>
      </c>
      <c r="N724" s="41" t="str">
        <f>VLOOKUP(Table1[[#This Row],[Tegevusala kood]],Table4[[Tegevusala kood]:[Tegevusala alanimetus]],2,FALSE)</f>
        <v>Koolitransport</v>
      </c>
      <c r="O724" s="41" t="s">
        <v>1</v>
      </c>
      <c r="P724" s="41" t="s">
        <v>1</v>
      </c>
      <c r="Q724" s="41" t="str">
        <f>VLOOKUP(Table1[[#This Row],[Eelarvekonto]],Table5[[Konto]:[Kontode alanimetus]],5,FALSE)</f>
        <v>Majandamiskulud</v>
      </c>
      <c r="R724" s="42" t="str">
        <f>VLOOKUP(Table1[[#This Row],[Tegevusala kood]],Table4[[Tegevusala kood]:[Tegevusala alanimetus]],4,FALSE)</f>
        <v>Koolitransport</v>
      </c>
      <c r="S724" s="53"/>
      <c r="T724" s="53"/>
      <c r="U724" s="53">
        <f>Table1[[#This Row],[Summa]]+Table1[[#This Row],[I Muudatus]]+Table1[[#This Row],[II Muudatus]]</f>
        <v>780</v>
      </c>
    </row>
    <row r="725" spans="1:21" ht="14.25" hidden="1" customHeight="1" x14ac:dyDescent="0.25">
      <c r="A725" s="41" t="s">
        <v>715</v>
      </c>
      <c r="B725" s="41">
        <v>37152</v>
      </c>
      <c r="C725" s="52">
        <v>551308</v>
      </c>
      <c r="D725" s="52" t="str">
        <f>LEFT(Table1[[#This Row],[Eelarvekonto]],2)</f>
        <v>55</v>
      </c>
      <c r="E725" s="41" t="str">
        <f>VLOOKUP(Table1[[#This Row],[Eelarvekonto]],Table5[[Konto]:[Konto nimetus]],2,FALSE)</f>
        <v>Sõidukite kasutusrent</v>
      </c>
      <c r="F725" s="41" t="s">
        <v>139</v>
      </c>
      <c r="G725" s="41" t="s">
        <v>24</v>
      </c>
      <c r="J725" s="41" t="s">
        <v>423</v>
      </c>
      <c r="K725" s="41" t="s">
        <v>422</v>
      </c>
      <c r="L725" s="58" t="s">
        <v>711</v>
      </c>
      <c r="M725" s="58" t="str">
        <f>LEFT(Table1[[#This Row],[Tegevusala kood]],2)</f>
        <v>09</v>
      </c>
      <c r="N725" s="41" t="str">
        <f>VLOOKUP(Table1[[#This Row],[Tegevusala kood]],Table4[[Tegevusala kood]:[Tegevusala alanimetus]],2,FALSE)</f>
        <v>Koolitransport</v>
      </c>
      <c r="O725" s="41" t="s">
        <v>1</v>
      </c>
      <c r="P725" s="41" t="s">
        <v>1</v>
      </c>
      <c r="Q725" s="41" t="str">
        <f>VLOOKUP(Table1[[#This Row],[Eelarvekonto]],Table5[[Konto]:[Kontode alanimetus]],5,FALSE)</f>
        <v>Majandamiskulud</v>
      </c>
      <c r="R725" s="42" t="str">
        <f>VLOOKUP(Table1[[#This Row],[Tegevusala kood]],Table4[[Tegevusala kood]:[Tegevusala alanimetus]],4,FALSE)</f>
        <v>Koolitransport</v>
      </c>
      <c r="S725" s="53"/>
      <c r="T725" s="53"/>
      <c r="U725" s="53">
        <f>Table1[[#This Row],[Summa]]+Table1[[#This Row],[I Muudatus]]+Table1[[#This Row],[II Muudatus]]</f>
        <v>37152</v>
      </c>
    </row>
    <row r="726" spans="1:21" ht="14.25" hidden="1" customHeight="1" x14ac:dyDescent="0.25">
      <c r="A726" s="41" t="s">
        <v>158</v>
      </c>
      <c r="B726" s="41">
        <v>4867.2</v>
      </c>
      <c r="C726" s="52">
        <v>506</v>
      </c>
      <c r="D726" s="52" t="str">
        <f>LEFT(Table1[[#This Row],[Eelarvekonto]],2)</f>
        <v>50</v>
      </c>
      <c r="E726" s="41" t="str">
        <f>VLOOKUP(Table1[[#This Row],[Eelarvekonto]],Table5[[Konto]:[Konto nimetus]],2,FALSE)</f>
        <v>Tööjõukuludega kaasnevad maksud ja sotsiaalkindlustusmaksed</v>
      </c>
      <c r="F726" s="41" t="s">
        <v>139</v>
      </c>
      <c r="G726" s="41" t="s">
        <v>24</v>
      </c>
      <c r="J726" s="41" t="s">
        <v>423</v>
      </c>
      <c r="K726" s="41" t="s">
        <v>422</v>
      </c>
      <c r="L726" s="58" t="s">
        <v>711</v>
      </c>
      <c r="M726" s="58" t="str">
        <f>LEFT(Table1[[#This Row],[Tegevusala kood]],2)</f>
        <v>09</v>
      </c>
      <c r="N726" s="41" t="str">
        <f>VLOOKUP(Table1[[#This Row],[Tegevusala kood]],Table4[[Tegevusala kood]:[Tegevusala alanimetus]],2,FALSE)</f>
        <v>Koolitransport</v>
      </c>
      <c r="O726" s="41" t="s">
        <v>1</v>
      </c>
      <c r="P726" s="41" t="s">
        <v>1</v>
      </c>
      <c r="Q726" s="41" t="str">
        <f>VLOOKUP(Table1[[#This Row],[Eelarvekonto]],Table5[[Konto]:[Kontode alanimetus]],5,FALSE)</f>
        <v>Tööjõukulud</v>
      </c>
      <c r="R726" s="42" t="str">
        <f>VLOOKUP(Table1[[#This Row],[Tegevusala kood]],Table4[[Tegevusala kood]:[Tegevusala alanimetus]],4,FALSE)</f>
        <v>Koolitransport</v>
      </c>
      <c r="S726" s="53"/>
      <c r="T726" s="53"/>
      <c r="U726" s="53">
        <f>Table1[[#This Row],[Summa]]+Table1[[#This Row],[I Muudatus]]+Table1[[#This Row],[II Muudatus]]</f>
        <v>4867.2</v>
      </c>
    </row>
    <row r="727" spans="1:21" ht="14.25" hidden="1" customHeight="1" x14ac:dyDescent="0.25">
      <c r="A727" s="41" t="s">
        <v>714</v>
      </c>
      <c r="B727" s="41">
        <v>14400</v>
      </c>
      <c r="C727" s="52">
        <v>5002</v>
      </c>
      <c r="D727" s="52" t="str">
        <f>LEFT(Table1[[#This Row],[Eelarvekonto]],2)</f>
        <v>50</v>
      </c>
      <c r="E727" s="41" t="str">
        <f>VLOOKUP(Table1[[#This Row],[Eelarvekonto]],Table5[[Konto]:[Konto nimetus]],2,FALSE)</f>
        <v>Töötajate töötasud</v>
      </c>
      <c r="F727" s="41" t="s">
        <v>139</v>
      </c>
      <c r="G727" s="41" t="s">
        <v>24</v>
      </c>
      <c r="J727" s="41" t="s">
        <v>423</v>
      </c>
      <c r="K727" s="41" t="s">
        <v>422</v>
      </c>
      <c r="L727" s="58" t="s">
        <v>711</v>
      </c>
      <c r="M727" s="58" t="str">
        <f>LEFT(Table1[[#This Row],[Tegevusala kood]],2)</f>
        <v>09</v>
      </c>
      <c r="N727" s="41" t="str">
        <f>VLOOKUP(Table1[[#This Row],[Tegevusala kood]],Table4[[Tegevusala kood]:[Tegevusala alanimetus]],2,FALSE)</f>
        <v>Koolitransport</v>
      </c>
      <c r="O727" s="41" t="s">
        <v>1</v>
      </c>
      <c r="P727" s="41" t="s">
        <v>1</v>
      </c>
      <c r="Q727" s="41" t="str">
        <f>VLOOKUP(Table1[[#This Row],[Eelarvekonto]],Table5[[Konto]:[Kontode alanimetus]],5,FALSE)</f>
        <v>Tööjõukulud</v>
      </c>
      <c r="R727" s="42" t="str">
        <f>VLOOKUP(Table1[[#This Row],[Tegevusala kood]],Table4[[Tegevusala kood]:[Tegevusala alanimetus]],4,FALSE)</f>
        <v>Koolitransport</v>
      </c>
      <c r="S727" s="53"/>
      <c r="T727" s="53"/>
      <c r="U727" s="53">
        <f>Table1[[#This Row],[Summa]]+Table1[[#This Row],[I Muudatus]]+Table1[[#This Row],[II Muudatus]]</f>
        <v>14400</v>
      </c>
    </row>
    <row r="728" spans="1:21" ht="14.25" hidden="1" customHeight="1" x14ac:dyDescent="0.25">
      <c r="A728" s="41" t="s">
        <v>713</v>
      </c>
      <c r="B728" s="41">
        <v>60000</v>
      </c>
      <c r="C728" s="52">
        <v>4134</v>
      </c>
      <c r="D728" s="52" t="str">
        <f>LEFT(Table1[[#This Row],[Eelarvekonto]],2)</f>
        <v>41</v>
      </c>
      <c r="E728" s="41" t="str">
        <f>VLOOKUP(Table1[[#This Row],[Eelarvekonto]],Table5[[Konto]:[Konto nimetus]],2,FALSE)</f>
        <v>Õppetoetused</v>
      </c>
      <c r="F728" s="41" t="s">
        <v>139</v>
      </c>
      <c r="G728" s="41" t="s">
        <v>24</v>
      </c>
      <c r="J728" s="41" t="s">
        <v>423</v>
      </c>
      <c r="K728" s="41" t="s">
        <v>422</v>
      </c>
      <c r="L728" s="58" t="s">
        <v>711</v>
      </c>
      <c r="M728" s="58" t="str">
        <f>LEFT(Table1[[#This Row],[Tegevusala kood]],2)</f>
        <v>09</v>
      </c>
      <c r="N728" s="41" t="str">
        <f>VLOOKUP(Table1[[#This Row],[Tegevusala kood]],Table4[[Tegevusala kood]:[Tegevusala alanimetus]],2,FALSE)</f>
        <v>Koolitransport</v>
      </c>
      <c r="O728" s="41" t="s">
        <v>1</v>
      </c>
      <c r="P728" s="41" t="s">
        <v>1</v>
      </c>
      <c r="Q728" s="41" t="str">
        <f>VLOOKUP(Table1[[#This Row],[Eelarvekonto]],Table5[[Konto]:[Kontode alanimetus]],5,FALSE)</f>
        <v>Sotsiaalabitoetused ja muud toetused füüsilistele isikutele</v>
      </c>
      <c r="R728" s="42" t="str">
        <f>VLOOKUP(Table1[[#This Row],[Tegevusala kood]],Table4[[Tegevusala kood]:[Tegevusala alanimetus]],4,FALSE)</f>
        <v>Koolitransport</v>
      </c>
      <c r="S728" s="53"/>
      <c r="T728" s="53"/>
      <c r="U728" s="53">
        <f>Table1[[#This Row],[Summa]]+Table1[[#This Row],[I Muudatus]]+Table1[[#This Row],[II Muudatus]]</f>
        <v>60000</v>
      </c>
    </row>
    <row r="729" spans="1:21" ht="14.25" hidden="1" customHeight="1" x14ac:dyDescent="0.25">
      <c r="A729" s="41" t="s">
        <v>522</v>
      </c>
      <c r="B729" s="41">
        <v>2500</v>
      </c>
      <c r="C729" s="52">
        <v>551307</v>
      </c>
      <c r="D729" s="52" t="str">
        <f>LEFT(Table1[[#This Row],[Eelarvekonto]],2)</f>
        <v>55</v>
      </c>
      <c r="E729" s="41" t="str">
        <f>VLOOKUP(Table1[[#This Row],[Eelarvekonto]],Table5[[Konto]:[Konto nimetus]],2,FALSE)</f>
        <v>Kindlustus</v>
      </c>
      <c r="F729" s="41" t="s">
        <v>139</v>
      </c>
      <c r="G729" s="41" t="s">
        <v>24</v>
      </c>
      <c r="J729" s="41" t="s">
        <v>423</v>
      </c>
      <c r="K729" s="41" t="s">
        <v>422</v>
      </c>
      <c r="L729" s="58" t="s">
        <v>711</v>
      </c>
      <c r="M729" s="58" t="str">
        <f>LEFT(Table1[[#This Row],[Tegevusala kood]],2)</f>
        <v>09</v>
      </c>
      <c r="N729" s="41" t="str">
        <f>VLOOKUP(Table1[[#This Row],[Tegevusala kood]],Table4[[Tegevusala kood]:[Tegevusala alanimetus]],2,FALSE)</f>
        <v>Koolitransport</v>
      </c>
      <c r="O729" s="41" t="s">
        <v>1</v>
      </c>
      <c r="P729" s="41" t="s">
        <v>1</v>
      </c>
      <c r="Q729" s="41" t="str">
        <f>VLOOKUP(Table1[[#This Row],[Eelarvekonto]],Table5[[Konto]:[Kontode alanimetus]],5,FALSE)</f>
        <v>Majandamiskulud</v>
      </c>
      <c r="R729" s="42" t="str">
        <f>VLOOKUP(Table1[[#This Row],[Tegevusala kood]],Table4[[Tegevusala kood]:[Tegevusala alanimetus]],4,FALSE)</f>
        <v>Koolitransport</v>
      </c>
      <c r="S729" s="53"/>
      <c r="T729" s="53"/>
      <c r="U729" s="53">
        <f>Table1[[#This Row],[Summa]]+Table1[[#This Row],[I Muudatus]]+Table1[[#This Row],[II Muudatus]]</f>
        <v>2500</v>
      </c>
    </row>
    <row r="730" spans="1:21" ht="14.25" hidden="1" customHeight="1" x14ac:dyDescent="0.25">
      <c r="A730" s="41" t="s">
        <v>1142</v>
      </c>
      <c r="B730" s="41">
        <v>1224</v>
      </c>
      <c r="C730" s="52">
        <v>5005</v>
      </c>
      <c r="D730" s="52" t="str">
        <f>LEFT(Table1[[#This Row],[Eelarvekonto]],2)</f>
        <v>50</v>
      </c>
      <c r="E730" s="41" t="str">
        <f>VLOOKUP(Table1[[#This Row],[Eelarvekonto]],Table5[[Konto]:[Konto nimetus]],2,FALSE)</f>
        <v>Töötasud võlaõiguslike lepingute alusel</v>
      </c>
      <c r="F730" s="41" t="s">
        <v>139</v>
      </c>
      <c r="G730" s="41" t="s">
        <v>24</v>
      </c>
      <c r="J730" s="41" t="s">
        <v>218</v>
      </c>
      <c r="K730" s="41" t="s">
        <v>98</v>
      </c>
      <c r="L730" s="58" t="s">
        <v>217</v>
      </c>
      <c r="M730" s="58" t="str">
        <f>LEFT(Table1[[#This Row],[Tegevusala kood]],2)</f>
        <v>08</v>
      </c>
      <c r="N730" s="41" t="str">
        <f>VLOOKUP(Table1[[#This Row],[Tegevusala kood]],Table4[[Tegevusala kood]:[Tegevusala alanimetus]],2,FALSE)</f>
        <v>Laekvere Rahvamaja</v>
      </c>
      <c r="O730" s="41" t="s">
        <v>1</v>
      </c>
      <c r="P730" s="41" t="s">
        <v>1</v>
      </c>
      <c r="Q730" s="41" t="str">
        <f>VLOOKUP(Table1[[#This Row],[Eelarvekonto]],Table5[[Konto]:[Kontode alanimetus]],5,FALSE)</f>
        <v>Tööjõukulud</v>
      </c>
      <c r="R730" s="42" t="str">
        <f>VLOOKUP(Table1[[#This Row],[Tegevusala kood]],Table4[[Tegevusala kood]:[Tegevusala alanimetus]],4,FALSE)</f>
        <v>Rahvakultuur</v>
      </c>
      <c r="S730" s="53"/>
      <c r="T730" s="53"/>
      <c r="U730" s="53">
        <f>Table1[[#This Row],[Summa]]+Table1[[#This Row],[I Muudatus]]+Table1[[#This Row],[II Muudatus]]</f>
        <v>1224</v>
      </c>
    </row>
    <row r="731" spans="1:21" ht="14.25" hidden="1" customHeight="1" x14ac:dyDescent="0.25">
      <c r="A731" s="41" t="s">
        <v>1143</v>
      </c>
      <c r="B731" s="41">
        <v>345.6</v>
      </c>
      <c r="C731" s="52">
        <v>5511</v>
      </c>
      <c r="D731" s="52" t="str">
        <f>LEFT(Table1[[#This Row],[Eelarvekonto]],2)</f>
        <v>55</v>
      </c>
      <c r="E731" s="41" t="str">
        <f>VLOOKUP(Table1[[#This Row],[Eelarvekonto]],Table5[[Konto]:[Konto nimetus]],2,FALSE)</f>
        <v>Kinnistute, hoonete ja ruumide majandamiskulud</v>
      </c>
      <c r="F731" s="41" t="s">
        <v>139</v>
      </c>
      <c r="G731" s="41" t="s">
        <v>24</v>
      </c>
      <c r="J731" s="41" t="s">
        <v>218</v>
      </c>
      <c r="K731" s="41" t="s">
        <v>98</v>
      </c>
      <c r="L731" s="58" t="s">
        <v>217</v>
      </c>
      <c r="M731" s="58" t="str">
        <f>LEFT(Table1[[#This Row],[Tegevusala kood]],2)</f>
        <v>08</v>
      </c>
      <c r="N731" s="41" t="str">
        <f>VLOOKUP(Table1[[#This Row],[Tegevusala kood]],Table4[[Tegevusala kood]:[Tegevusala alanimetus]],2,FALSE)</f>
        <v>Laekvere Rahvamaja</v>
      </c>
      <c r="O731" s="41" t="s">
        <v>1</v>
      </c>
      <c r="P731" s="41" t="s">
        <v>1</v>
      </c>
      <c r="Q731" s="41" t="str">
        <f>VLOOKUP(Table1[[#This Row],[Eelarvekonto]],Table5[[Konto]:[Kontode alanimetus]],5,FALSE)</f>
        <v>Majandamiskulud</v>
      </c>
      <c r="R731" s="42" t="str">
        <f>VLOOKUP(Table1[[#This Row],[Tegevusala kood]],Table4[[Tegevusala kood]:[Tegevusala alanimetus]],4,FALSE)</f>
        <v>Rahvakultuur</v>
      </c>
      <c r="S731" s="53"/>
      <c r="T731" s="53"/>
      <c r="U731" s="53">
        <f>Table1[[#This Row],[Summa]]+Table1[[#This Row],[I Muudatus]]+Table1[[#This Row],[II Muudatus]]</f>
        <v>345.6</v>
      </c>
    </row>
    <row r="732" spans="1:21" ht="14.25" hidden="1" customHeight="1" x14ac:dyDescent="0.25">
      <c r="A732" s="41" t="s">
        <v>1144</v>
      </c>
      <c r="B732" s="41">
        <v>114</v>
      </c>
      <c r="C732" s="52">
        <v>5514</v>
      </c>
      <c r="D732" s="52" t="str">
        <f>LEFT(Table1[[#This Row],[Eelarvekonto]],2)</f>
        <v>55</v>
      </c>
      <c r="E732" s="41" t="str">
        <f>VLOOKUP(Table1[[#This Row],[Eelarvekonto]],Table5[[Konto]:[Konto nimetus]],2,FALSE)</f>
        <v>Info- ja kommunikatsioonitehnoloogia kulud</v>
      </c>
      <c r="F732" s="41" t="s">
        <v>139</v>
      </c>
      <c r="G732" s="41" t="s">
        <v>24</v>
      </c>
      <c r="J732" s="41" t="s">
        <v>218</v>
      </c>
      <c r="K732" s="41" t="s">
        <v>98</v>
      </c>
      <c r="L732" s="58" t="s">
        <v>217</v>
      </c>
      <c r="M732" s="58" t="str">
        <f>LEFT(Table1[[#This Row],[Tegevusala kood]],2)</f>
        <v>08</v>
      </c>
      <c r="N732" s="41" t="str">
        <f>VLOOKUP(Table1[[#This Row],[Tegevusala kood]],Table4[[Tegevusala kood]:[Tegevusala alanimetus]],2,FALSE)</f>
        <v>Laekvere Rahvamaja</v>
      </c>
      <c r="O732" s="41" t="s">
        <v>1</v>
      </c>
      <c r="P732" s="41" t="s">
        <v>1</v>
      </c>
      <c r="Q732" s="41" t="str">
        <f>VLOOKUP(Table1[[#This Row],[Eelarvekonto]],Table5[[Konto]:[Kontode alanimetus]],5,FALSE)</f>
        <v>Majandamiskulud</v>
      </c>
      <c r="R732" s="42" t="str">
        <f>VLOOKUP(Table1[[#This Row],[Tegevusala kood]],Table4[[Tegevusala kood]:[Tegevusala alanimetus]],4,FALSE)</f>
        <v>Rahvakultuur</v>
      </c>
      <c r="S732" s="53"/>
      <c r="T732" s="53"/>
      <c r="U732" s="53">
        <f>Table1[[#This Row],[Summa]]+Table1[[#This Row],[I Muudatus]]+Table1[[#This Row],[II Muudatus]]</f>
        <v>114</v>
      </c>
    </row>
    <row r="733" spans="1:21" ht="14.25" hidden="1" customHeight="1" x14ac:dyDescent="0.25">
      <c r="A733" s="41" t="s">
        <v>570</v>
      </c>
      <c r="B733" s="41">
        <v>264</v>
      </c>
      <c r="C733" s="52">
        <v>5500</v>
      </c>
      <c r="D733" s="52" t="str">
        <f>LEFT(Table1[[#This Row],[Eelarvekonto]],2)</f>
        <v>55</v>
      </c>
      <c r="E733" s="41" t="str">
        <f>VLOOKUP(Table1[[#This Row],[Eelarvekonto]],Table5[[Konto]:[Konto nimetus]],2,FALSE)</f>
        <v>Administreerimiskulud</v>
      </c>
      <c r="F733" s="41" t="s">
        <v>139</v>
      </c>
      <c r="G733" s="41" t="s">
        <v>24</v>
      </c>
      <c r="J733" s="41" t="s">
        <v>218</v>
      </c>
      <c r="K733" s="41" t="s">
        <v>98</v>
      </c>
      <c r="L733" s="58" t="s">
        <v>217</v>
      </c>
      <c r="M733" s="58" t="str">
        <f>LEFT(Table1[[#This Row],[Tegevusala kood]],2)</f>
        <v>08</v>
      </c>
      <c r="N733" s="41" t="str">
        <f>VLOOKUP(Table1[[#This Row],[Tegevusala kood]],Table4[[Tegevusala kood]:[Tegevusala alanimetus]],2,FALSE)</f>
        <v>Laekvere Rahvamaja</v>
      </c>
      <c r="O733" s="41" t="s">
        <v>1</v>
      </c>
      <c r="P733" s="41" t="s">
        <v>1</v>
      </c>
      <c r="Q733" s="41" t="str">
        <f>VLOOKUP(Table1[[#This Row],[Eelarvekonto]],Table5[[Konto]:[Kontode alanimetus]],5,FALSE)</f>
        <v>Majandamiskulud</v>
      </c>
      <c r="R733" s="42" t="str">
        <f>VLOOKUP(Table1[[#This Row],[Tegevusala kood]],Table4[[Tegevusala kood]:[Tegevusala alanimetus]],4,FALSE)</f>
        <v>Rahvakultuur</v>
      </c>
      <c r="S733" s="53"/>
      <c r="T733" s="53"/>
      <c r="U733" s="53">
        <f>Table1[[#This Row],[Summa]]+Table1[[#This Row],[I Muudatus]]+Table1[[#This Row],[II Muudatus]]</f>
        <v>264</v>
      </c>
    </row>
    <row r="734" spans="1:21" ht="14.25" hidden="1" customHeight="1" x14ac:dyDescent="0.25">
      <c r="A734" s="41" t="s">
        <v>1145</v>
      </c>
      <c r="B734" s="41">
        <v>544</v>
      </c>
      <c r="C734" s="52">
        <v>5005</v>
      </c>
      <c r="D734" s="52" t="str">
        <f>LEFT(Table1[[#This Row],[Eelarvekonto]],2)</f>
        <v>50</v>
      </c>
      <c r="E734" s="41" t="str">
        <f>VLOOKUP(Table1[[#This Row],[Eelarvekonto]],Table5[[Konto]:[Konto nimetus]],2,FALSE)</f>
        <v>Töötasud võlaõiguslike lepingute alusel</v>
      </c>
      <c r="F734" s="41" t="s">
        <v>139</v>
      </c>
      <c r="G734" s="41" t="s">
        <v>24</v>
      </c>
      <c r="J734" s="41" t="s">
        <v>218</v>
      </c>
      <c r="K734" s="41" t="s">
        <v>98</v>
      </c>
      <c r="L734" s="58" t="s">
        <v>217</v>
      </c>
      <c r="M734" s="58" t="str">
        <f>LEFT(Table1[[#This Row],[Tegevusala kood]],2)</f>
        <v>08</v>
      </c>
      <c r="N734" s="41" t="str">
        <f>VLOOKUP(Table1[[#This Row],[Tegevusala kood]],Table4[[Tegevusala kood]:[Tegevusala alanimetus]],2,FALSE)</f>
        <v>Laekvere Rahvamaja</v>
      </c>
      <c r="O734" s="41" t="s">
        <v>1</v>
      </c>
      <c r="P734" s="41" t="s">
        <v>1</v>
      </c>
      <c r="Q734" s="41" t="str">
        <f>VLOOKUP(Table1[[#This Row],[Eelarvekonto]],Table5[[Konto]:[Kontode alanimetus]],5,FALSE)</f>
        <v>Tööjõukulud</v>
      </c>
      <c r="R734" s="42" t="str">
        <f>VLOOKUP(Table1[[#This Row],[Tegevusala kood]],Table4[[Tegevusala kood]:[Tegevusala alanimetus]],4,FALSE)</f>
        <v>Rahvakultuur</v>
      </c>
      <c r="S734" s="53"/>
      <c r="T734" s="53"/>
      <c r="U734" s="53">
        <f>Table1[[#This Row],[Summa]]+Table1[[#This Row],[I Muudatus]]+Table1[[#This Row],[II Muudatus]]</f>
        <v>544</v>
      </c>
    </row>
    <row r="735" spans="1:21" ht="14.25" hidden="1" customHeight="1" x14ac:dyDescent="0.25">
      <c r="A735" s="41" t="s">
        <v>201</v>
      </c>
      <c r="B735" s="41">
        <v>1944</v>
      </c>
      <c r="C735" s="52">
        <v>5005</v>
      </c>
      <c r="D735" s="52" t="str">
        <f>LEFT(Table1[[#This Row],[Eelarvekonto]],2)</f>
        <v>50</v>
      </c>
      <c r="E735" s="41" t="str">
        <f>VLOOKUP(Table1[[#This Row],[Eelarvekonto]],Table5[[Konto]:[Konto nimetus]],2,FALSE)</f>
        <v>Töötasud võlaõiguslike lepingute alusel</v>
      </c>
      <c r="F735" s="41" t="s">
        <v>139</v>
      </c>
      <c r="G735" s="41" t="s">
        <v>24</v>
      </c>
      <c r="J735" s="41" t="s">
        <v>218</v>
      </c>
      <c r="K735" s="41" t="s">
        <v>98</v>
      </c>
      <c r="L735" s="58" t="s">
        <v>217</v>
      </c>
      <c r="M735" s="58" t="str">
        <f>LEFT(Table1[[#This Row],[Tegevusala kood]],2)</f>
        <v>08</v>
      </c>
      <c r="N735" s="41" t="str">
        <f>VLOOKUP(Table1[[#This Row],[Tegevusala kood]],Table4[[Tegevusala kood]:[Tegevusala alanimetus]],2,FALSE)</f>
        <v>Laekvere Rahvamaja</v>
      </c>
      <c r="O735" s="41" t="s">
        <v>1</v>
      </c>
      <c r="P735" s="41" t="s">
        <v>1</v>
      </c>
      <c r="Q735" s="41" t="str">
        <f>VLOOKUP(Table1[[#This Row],[Eelarvekonto]],Table5[[Konto]:[Kontode alanimetus]],5,FALSE)</f>
        <v>Tööjõukulud</v>
      </c>
      <c r="R735" s="42" t="str">
        <f>VLOOKUP(Table1[[#This Row],[Tegevusala kood]],Table4[[Tegevusala kood]:[Tegevusala alanimetus]],4,FALSE)</f>
        <v>Rahvakultuur</v>
      </c>
      <c r="S735" s="53"/>
      <c r="T735" s="53"/>
      <c r="U735" s="53">
        <f>Table1[[#This Row],[Summa]]+Table1[[#This Row],[I Muudatus]]+Table1[[#This Row],[II Muudatus]]</f>
        <v>1944</v>
      </c>
    </row>
    <row r="736" spans="1:21" ht="14.25" hidden="1" customHeight="1" x14ac:dyDescent="0.25">
      <c r="A736" s="41" t="s">
        <v>197</v>
      </c>
      <c r="B736" s="41">
        <v>880</v>
      </c>
      <c r="C736" s="52">
        <v>5513081</v>
      </c>
      <c r="D736" s="52" t="str">
        <f>LEFT(Table1[[#This Row],[Eelarvekonto]],2)</f>
        <v>55</v>
      </c>
      <c r="E736" s="41" t="str">
        <f>VLOOKUP(Table1[[#This Row],[Eelarvekonto]],Table5[[Konto]:[Konto nimetus]],2,FALSE)</f>
        <v>Isikliku sõiduauto kompensatsioon</v>
      </c>
      <c r="F736" s="41" t="s">
        <v>139</v>
      </c>
      <c r="G736" s="41" t="s">
        <v>24</v>
      </c>
      <c r="J736" s="41" t="s">
        <v>218</v>
      </c>
      <c r="K736" s="41" t="s">
        <v>98</v>
      </c>
      <c r="L736" s="58" t="s">
        <v>217</v>
      </c>
      <c r="M736" s="58" t="str">
        <f>LEFT(Table1[[#This Row],[Tegevusala kood]],2)</f>
        <v>08</v>
      </c>
      <c r="N736" s="41" t="str">
        <f>VLOOKUP(Table1[[#This Row],[Tegevusala kood]],Table4[[Tegevusala kood]:[Tegevusala alanimetus]],2,FALSE)</f>
        <v>Laekvere Rahvamaja</v>
      </c>
      <c r="O736" s="41" t="s">
        <v>1</v>
      </c>
      <c r="P736" s="41" t="s">
        <v>1</v>
      </c>
      <c r="Q736" s="41" t="str">
        <f>VLOOKUP(Table1[[#This Row],[Eelarvekonto]],Table5[[Konto]:[Kontode alanimetus]],5,FALSE)</f>
        <v>Majandamiskulud</v>
      </c>
      <c r="R736" s="42" t="str">
        <f>VLOOKUP(Table1[[#This Row],[Tegevusala kood]],Table4[[Tegevusala kood]:[Tegevusala alanimetus]],4,FALSE)</f>
        <v>Rahvakultuur</v>
      </c>
      <c r="S736" s="53"/>
      <c r="T736" s="53"/>
      <c r="U736" s="53">
        <f>Table1[[#This Row],[Summa]]+Table1[[#This Row],[I Muudatus]]+Table1[[#This Row],[II Muudatus]]</f>
        <v>880</v>
      </c>
    </row>
    <row r="737" spans="1:21" ht="14.25" hidden="1" customHeight="1" x14ac:dyDescent="0.25">
      <c r="A737" s="41" t="s">
        <v>462</v>
      </c>
      <c r="B737" s="41">
        <v>13200</v>
      </c>
      <c r="C737" s="52">
        <v>5002</v>
      </c>
      <c r="D737" s="52" t="str">
        <f>LEFT(Table1[[#This Row],[Eelarvekonto]],2)</f>
        <v>50</v>
      </c>
      <c r="E737" s="41" t="str">
        <f>VLOOKUP(Table1[[#This Row],[Eelarvekonto]],Table5[[Konto]:[Konto nimetus]],2,FALSE)</f>
        <v>Töötajate töötasud</v>
      </c>
      <c r="F737" s="41" t="s">
        <v>139</v>
      </c>
      <c r="G737" s="41" t="s">
        <v>24</v>
      </c>
      <c r="J737" s="41" t="s">
        <v>218</v>
      </c>
      <c r="K737" s="41" t="s">
        <v>98</v>
      </c>
      <c r="L737" s="58" t="s">
        <v>217</v>
      </c>
      <c r="M737" s="58" t="str">
        <f>LEFT(Table1[[#This Row],[Tegevusala kood]],2)</f>
        <v>08</v>
      </c>
      <c r="N737" s="41" t="str">
        <f>VLOOKUP(Table1[[#This Row],[Tegevusala kood]],Table4[[Tegevusala kood]:[Tegevusala alanimetus]],2,FALSE)</f>
        <v>Laekvere Rahvamaja</v>
      </c>
      <c r="O737" s="41" t="s">
        <v>1</v>
      </c>
      <c r="P737" s="41" t="s">
        <v>1</v>
      </c>
      <c r="Q737" s="41" t="str">
        <f>VLOOKUP(Table1[[#This Row],[Eelarvekonto]],Table5[[Konto]:[Kontode alanimetus]],5,FALSE)</f>
        <v>Tööjõukulud</v>
      </c>
      <c r="R737" s="42" t="str">
        <f>VLOOKUP(Table1[[#This Row],[Tegevusala kood]],Table4[[Tegevusala kood]:[Tegevusala alanimetus]],4,FALSE)</f>
        <v>Rahvakultuur</v>
      </c>
      <c r="S737" s="53"/>
      <c r="T737" s="53"/>
      <c r="U737" s="53">
        <f>Table1[[#This Row],[Summa]]+Table1[[#This Row],[I Muudatus]]+Table1[[#This Row],[II Muudatus]]</f>
        <v>13200</v>
      </c>
    </row>
    <row r="738" spans="1:21" ht="14.25" hidden="1" customHeight="1" x14ac:dyDescent="0.25">
      <c r="A738" s="41" t="s">
        <v>469</v>
      </c>
      <c r="B738" s="41">
        <v>7848</v>
      </c>
      <c r="C738" s="52">
        <v>5002</v>
      </c>
      <c r="D738" s="52" t="str">
        <f>LEFT(Table1[[#This Row],[Eelarvekonto]],2)</f>
        <v>50</v>
      </c>
      <c r="E738" s="41" t="str">
        <f>VLOOKUP(Table1[[#This Row],[Eelarvekonto]],Table5[[Konto]:[Konto nimetus]],2,FALSE)</f>
        <v>Töötajate töötasud</v>
      </c>
      <c r="F738" s="41" t="s">
        <v>139</v>
      </c>
      <c r="G738" s="41" t="s">
        <v>24</v>
      </c>
      <c r="J738" s="41" t="s">
        <v>218</v>
      </c>
      <c r="K738" s="41" t="s">
        <v>98</v>
      </c>
      <c r="L738" s="58" t="s">
        <v>217</v>
      </c>
      <c r="M738" s="58" t="str">
        <f>LEFT(Table1[[#This Row],[Tegevusala kood]],2)</f>
        <v>08</v>
      </c>
      <c r="N738" s="41" t="str">
        <f>VLOOKUP(Table1[[#This Row],[Tegevusala kood]],Table4[[Tegevusala kood]:[Tegevusala alanimetus]],2,FALSE)</f>
        <v>Laekvere Rahvamaja</v>
      </c>
      <c r="O738" s="41" t="s">
        <v>1</v>
      </c>
      <c r="P738" s="41" t="s">
        <v>1</v>
      </c>
      <c r="Q738" s="41" t="str">
        <f>VLOOKUP(Table1[[#This Row],[Eelarvekonto]],Table5[[Konto]:[Kontode alanimetus]],5,FALSE)</f>
        <v>Tööjõukulud</v>
      </c>
      <c r="R738" s="42" t="str">
        <f>VLOOKUP(Table1[[#This Row],[Tegevusala kood]],Table4[[Tegevusala kood]:[Tegevusala alanimetus]],4,FALSE)</f>
        <v>Rahvakultuur</v>
      </c>
      <c r="S738" s="53"/>
      <c r="T738" s="53"/>
      <c r="U738" s="53">
        <f>Table1[[#This Row],[Summa]]+Table1[[#This Row],[I Muudatus]]+Table1[[#This Row],[II Muudatus]]</f>
        <v>7848</v>
      </c>
    </row>
    <row r="739" spans="1:21" ht="14.25" hidden="1" customHeight="1" x14ac:dyDescent="0.25">
      <c r="A739" s="41" t="s">
        <v>158</v>
      </c>
      <c r="B739" s="41">
        <v>13183.35</v>
      </c>
      <c r="C739" s="52">
        <v>506</v>
      </c>
      <c r="D739" s="52" t="str">
        <f>LEFT(Table1[[#This Row],[Eelarvekonto]],2)</f>
        <v>50</v>
      </c>
      <c r="E739" s="41" t="str">
        <f>VLOOKUP(Table1[[#This Row],[Eelarvekonto]],Table5[[Konto]:[Konto nimetus]],2,FALSE)</f>
        <v>Tööjõukuludega kaasnevad maksud ja sotsiaalkindlustusmaksed</v>
      </c>
      <c r="F739" s="41" t="s">
        <v>139</v>
      </c>
      <c r="G739" s="41" t="s">
        <v>24</v>
      </c>
      <c r="J739" s="41" t="s">
        <v>218</v>
      </c>
      <c r="K739" s="41" t="s">
        <v>98</v>
      </c>
      <c r="L739" s="58" t="s">
        <v>217</v>
      </c>
      <c r="M739" s="58" t="str">
        <f>LEFT(Table1[[#This Row],[Tegevusala kood]],2)</f>
        <v>08</v>
      </c>
      <c r="N739" s="41" t="str">
        <f>VLOOKUP(Table1[[#This Row],[Tegevusala kood]],Table4[[Tegevusala kood]:[Tegevusala alanimetus]],2,FALSE)</f>
        <v>Laekvere Rahvamaja</v>
      </c>
      <c r="O739" s="41" t="s">
        <v>1</v>
      </c>
      <c r="P739" s="41" t="s">
        <v>1</v>
      </c>
      <c r="Q739" s="41" t="str">
        <f>VLOOKUP(Table1[[#This Row],[Eelarvekonto]],Table5[[Konto]:[Kontode alanimetus]],5,FALSE)</f>
        <v>Tööjõukulud</v>
      </c>
      <c r="R739" s="42" t="str">
        <f>VLOOKUP(Table1[[#This Row],[Tegevusala kood]],Table4[[Tegevusala kood]:[Tegevusala alanimetus]],4,FALSE)</f>
        <v>Rahvakultuur</v>
      </c>
      <c r="S739" s="53"/>
      <c r="T739" s="53"/>
      <c r="U739" s="53">
        <f>Table1[[#This Row],[Summa]]+Table1[[#This Row],[I Muudatus]]+Table1[[#This Row],[II Muudatus]]</f>
        <v>13183.35</v>
      </c>
    </row>
    <row r="740" spans="1:21" ht="14.25" hidden="1" customHeight="1" x14ac:dyDescent="0.25">
      <c r="A740" s="41" t="s">
        <v>456</v>
      </c>
      <c r="B740" s="41">
        <v>7848</v>
      </c>
      <c r="C740" s="52">
        <v>5002</v>
      </c>
      <c r="D740" s="52" t="str">
        <f>LEFT(Table1[[#This Row],[Eelarvekonto]],2)</f>
        <v>50</v>
      </c>
      <c r="E740" s="41" t="str">
        <f>VLOOKUP(Table1[[#This Row],[Eelarvekonto]],Table5[[Konto]:[Konto nimetus]],2,FALSE)</f>
        <v>Töötajate töötasud</v>
      </c>
      <c r="F740" s="41" t="s">
        <v>139</v>
      </c>
      <c r="G740" s="41" t="s">
        <v>24</v>
      </c>
      <c r="J740" s="41" t="s">
        <v>218</v>
      </c>
      <c r="K740" s="41" t="s">
        <v>98</v>
      </c>
      <c r="L740" s="58" t="s">
        <v>217</v>
      </c>
      <c r="M740" s="58" t="str">
        <f>LEFT(Table1[[#This Row],[Tegevusala kood]],2)</f>
        <v>08</v>
      </c>
      <c r="N740" s="41" t="str">
        <f>VLOOKUP(Table1[[#This Row],[Tegevusala kood]],Table4[[Tegevusala kood]:[Tegevusala alanimetus]],2,FALSE)</f>
        <v>Laekvere Rahvamaja</v>
      </c>
      <c r="O740" s="41" t="s">
        <v>1</v>
      </c>
      <c r="P740" s="41" t="s">
        <v>1</v>
      </c>
      <c r="Q740" s="41" t="str">
        <f>VLOOKUP(Table1[[#This Row],[Eelarvekonto]],Table5[[Konto]:[Kontode alanimetus]],5,FALSE)</f>
        <v>Tööjõukulud</v>
      </c>
      <c r="R740" s="42" t="str">
        <f>VLOOKUP(Table1[[#This Row],[Tegevusala kood]],Table4[[Tegevusala kood]:[Tegevusala alanimetus]],4,FALSE)</f>
        <v>Rahvakultuur</v>
      </c>
      <c r="S740" s="53"/>
      <c r="T740" s="53"/>
      <c r="U740" s="53">
        <f>Table1[[#This Row],[Summa]]+Table1[[#This Row],[I Muudatus]]+Table1[[#This Row],[II Muudatus]]</f>
        <v>7848</v>
      </c>
    </row>
    <row r="741" spans="1:21" ht="14.25" hidden="1" customHeight="1" x14ac:dyDescent="0.25">
      <c r="A741" s="41" t="s">
        <v>1146</v>
      </c>
      <c r="B741" s="41">
        <v>221.64</v>
      </c>
      <c r="C741" s="52">
        <v>5511</v>
      </c>
      <c r="D741" s="52" t="str">
        <f>LEFT(Table1[[#This Row],[Eelarvekonto]],2)</f>
        <v>55</v>
      </c>
      <c r="E741" s="41" t="str">
        <f>VLOOKUP(Table1[[#This Row],[Eelarvekonto]],Table5[[Konto]:[Konto nimetus]],2,FALSE)</f>
        <v>Kinnistute, hoonete ja ruumide majandamiskulud</v>
      </c>
      <c r="F741" s="41" t="s">
        <v>139</v>
      </c>
      <c r="G741" s="41" t="s">
        <v>24</v>
      </c>
      <c r="J741" s="41" t="s">
        <v>218</v>
      </c>
      <c r="K741" s="41" t="s">
        <v>98</v>
      </c>
      <c r="L741" s="58" t="s">
        <v>217</v>
      </c>
      <c r="M741" s="58" t="str">
        <f>LEFT(Table1[[#This Row],[Tegevusala kood]],2)</f>
        <v>08</v>
      </c>
      <c r="N741" s="41" t="str">
        <f>VLOOKUP(Table1[[#This Row],[Tegevusala kood]],Table4[[Tegevusala kood]:[Tegevusala alanimetus]],2,FALSE)</f>
        <v>Laekvere Rahvamaja</v>
      </c>
      <c r="O741" s="41" t="s">
        <v>1</v>
      </c>
      <c r="P741" s="41" t="s">
        <v>1</v>
      </c>
      <c r="Q741" s="41" t="str">
        <f>VLOOKUP(Table1[[#This Row],[Eelarvekonto]],Table5[[Konto]:[Kontode alanimetus]],5,FALSE)</f>
        <v>Majandamiskulud</v>
      </c>
      <c r="R741" s="42" t="str">
        <f>VLOOKUP(Table1[[#This Row],[Tegevusala kood]],Table4[[Tegevusala kood]:[Tegevusala alanimetus]],4,FALSE)</f>
        <v>Rahvakultuur</v>
      </c>
      <c r="S741" s="53"/>
      <c r="T741" s="53"/>
      <c r="U741" s="53">
        <f>Table1[[#This Row],[Summa]]+Table1[[#This Row],[I Muudatus]]+Table1[[#This Row],[II Muudatus]]</f>
        <v>221.64</v>
      </c>
    </row>
    <row r="742" spans="1:21" ht="14.25" hidden="1" customHeight="1" x14ac:dyDescent="0.25">
      <c r="A742" s="41" t="s">
        <v>479</v>
      </c>
      <c r="B742" s="41">
        <v>360</v>
      </c>
      <c r="C742" s="52">
        <v>551102</v>
      </c>
      <c r="D742" s="52" t="str">
        <f>LEFT(Table1[[#This Row],[Eelarvekonto]],2)</f>
        <v>55</v>
      </c>
      <c r="E742" s="41" t="str">
        <f>VLOOKUP(Table1[[#This Row],[Eelarvekonto]],Table5[[Konto]:[Konto nimetus]],2,FALSE)</f>
        <v>Vesi ja kanalisatsioon</v>
      </c>
      <c r="F742" s="41" t="s">
        <v>139</v>
      </c>
      <c r="G742" s="41" t="s">
        <v>24</v>
      </c>
      <c r="J742" s="41" t="s">
        <v>218</v>
      </c>
      <c r="K742" s="41" t="s">
        <v>98</v>
      </c>
      <c r="L742" s="58" t="s">
        <v>217</v>
      </c>
      <c r="M742" s="58" t="str">
        <f>LEFT(Table1[[#This Row],[Tegevusala kood]],2)</f>
        <v>08</v>
      </c>
      <c r="N742" s="41" t="str">
        <f>VLOOKUP(Table1[[#This Row],[Tegevusala kood]],Table4[[Tegevusala kood]:[Tegevusala alanimetus]],2,FALSE)</f>
        <v>Laekvere Rahvamaja</v>
      </c>
      <c r="O742" s="41" t="s">
        <v>1</v>
      </c>
      <c r="P742" s="41" t="s">
        <v>1</v>
      </c>
      <c r="Q742" s="41" t="str">
        <f>VLOOKUP(Table1[[#This Row],[Eelarvekonto]],Table5[[Konto]:[Kontode alanimetus]],5,FALSE)</f>
        <v>Majandamiskulud</v>
      </c>
      <c r="R742" s="42" t="str">
        <f>VLOOKUP(Table1[[#This Row],[Tegevusala kood]],Table4[[Tegevusala kood]:[Tegevusala alanimetus]],4,FALSE)</f>
        <v>Rahvakultuur</v>
      </c>
      <c r="S742" s="53"/>
      <c r="T742" s="53"/>
      <c r="U742" s="53">
        <f>Table1[[#This Row],[Summa]]+Table1[[#This Row],[I Muudatus]]+Table1[[#This Row],[II Muudatus]]</f>
        <v>360</v>
      </c>
    </row>
    <row r="743" spans="1:21" ht="14.25" hidden="1" customHeight="1" x14ac:dyDescent="0.25">
      <c r="A743" s="41" t="s">
        <v>483</v>
      </c>
      <c r="B743" s="41">
        <v>240</v>
      </c>
      <c r="C743" s="52">
        <v>551102</v>
      </c>
      <c r="D743" s="52" t="str">
        <f>LEFT(Table1[[#This Row],[Eelarvekonto]],2)</f>
        <v>55</v>
      </c>
      <c r="E743" s="41" t="str">
        <f>VLOOKUP(Table1[[#This Row],[Eelarvekonto]],Table5[[Konto]:[Konto nimetus]],2,FALSE)</f>
        <v>Vesi ja kanalisatsioon</v>
      </c>
      <c r="F743" s="41" t="s">
        <v>139</v>
      </c>
      <c r="G743" s="41" t="s">
        <v>24</v>
      </c>
      <c r="J743" s="41" t="s">
        <v>218</v>
      </c>
      <c r="K743" s="41" t="s">
        <v>98</v>
      </c>
      <c r="L743" s="58" t="s">
        <v>217</v>
      </c>
      <c r="M743" s="58" t="str">
        <f>LEFT(Table1[[#This Row],[Tegevusala kood]],2)</f>
        <v>08</v>
      </c>
      <c r="N743" s="41" t="str">
        <f>VLOOKUP(Table1[[#This Row],[Tegevusala kood]],Table4[[Tegevusala kood]:[Tegevusala alanimetus]],2,FALSE)</f>
        <v>Laekvere Rahvamaja</v>
      </c>
      <c r="O743" s="41" t="s">
        <v>1</v>
      </c>
      <c r="P743" s="41" t="s">
        <v>1</v>
      </c>
      <c r="Q743" s="41" t="str">
        <f>VLOOKUP(Table1[[#This Row],[Eelarvekonto]],Table5[[Konto]:[Kontode alanimetus]],5,FALSE)</f>
        <v>Majandamiskulud</v>
      </c>
      <c r="R743" s="42" t="str">
        <f>VLOOKUP(Table1[[#This Row],[Tegevusala kood]],Table4[[Tegevusala kood]:[Tegevusala alanimetus]],4,FALSE)</f>
        <v>Rahvakultuur</v>
      </c>
      <c r="S743" s="53"/>
      <c r="T743" s="53"/>
      <c r="U743" s="53">
        <f>Table1[[#This Row],[Summa]]+Table1[[#This Row],[I Muudatus]]+Table1[[#This Row],[II Muudatus]]</f>
        <v>240</v>
      </c>
    </row>
    <row r="744" spans="1:21" ht="14.25" hidden="1" customHeight="1" x14ac:dyDescent="0.25">
      <c r="A744" s="41" t="s">
        <v>149</v>
      </c>
      <c r="B744" s="41">
        <v>2880</v>
      </c>
      <c r="C744" s="52">
        <v>551101</v>
      </c>
      <c r="D744" s="52" t="str">
        <f>LEFT(Table1[[#This Row],[Eelarvekonto]],2)</f>
        <v>55</v>
      </c>
      <c r="E744" s="41" t="str">
        <f>VLOOKUP(Table1[[#This Row],[Eelarvekonto]],Table5[[Konto]:[Konto nimetus]],2,FALSE)</f>
        <v>Elekter</v>
      </c>
      <c r="F744" s="41" t="s">
        <v>139</v>
      </c>
      <c r="G744" s="41" t="s">
        <v>24</v>
      </c>
      <c r="J744" s="41" t="s">
        <v>218</v>
      </c>
      <c r="K744" s="41" t="s">
        <v>98</v>
      </c>
      <c r="L744" s="58" t="s">
        <v>217</v>
      </c>
      <c r="M744" s="58" t="str">
        <f>LEFT(Table1[[#This Row],[Tegevusala kood]],2)</f>
        <v>08</v>
      </c>
      <c r="N744" s="41" t="str">
        <f>VLOOKUP(Table1[[#This Row],[Tegevusala kood]],Table4[[Tegevusala kood]:[Tegevusala alanimetus]],2,FALSE)</f>
        <v>Laekvere Rahvamaja</v>
      </c>
      <c r="O744" s="41" t="s">
        <v>1</v>
      </c>
      <c r="P744" s="41" t="s">
        <v>1</v>
      </c>
      <c r="Q744" s="41" t="str">
        <f>VLOOKUP(Table1[[#This Row],[Eelarvekonto]],Table5[[Konto]:[Kontode alanimetus]],5,FALSE)</f>
        <v>Majandamiskulud</v>
      </c>
      <c r="R744" s="42" t="str">
        <f>VLOOKUP(Table1[[#This Row],[Tegevusala kood]],Table4[[Tegevusala kood]:[Tegevusala alanimetus]],4,FALSE)</f>
        <v>Rahvakultuur</v>
      </c>
      <c r="S744" s="53"/>
      <c r="T744" s="53"/>
      <c r="U744" s="53">
        <f>Table1[[#This Row],[Summa]]+Table1[[#This Row],[I Muudatus]]+Table1[[#This Row],[II Muudatus]]</f>
        <v>2880</v>
      </c>
    </row>
    <row r="745" spans="1:21" ht="14.25" hidden="1" customHeight="1" x14ac:dyDescent="0.25">
      <c r="A745" s="41" t="s">
        <v>489</v>
      </c>
      <c r="B745" s="41">
        <v>253.68</v>
      </c>
      <c r="C745" s="52">
        <v>5511</v>
      </c>
      <c r="D745" s="52" t="str">
        <f>LEFT(Table1[[#This Row],[Eelarvekonto]],2)</f>
        <v>55</v>
      </c>
      <c r="E745" s="41" t="str">
        <f>VLOOKUP(Table1[[#This Row],[Eelarvekonto]],Table5[[Konto]:[Konto nimetus]],2,FALSE)</f>
        <v>Kinnistute, hoonete ja ruumide majandamiskulud</v>
      </c>
      <c r="F745" s="41" t="s">
        <v>139</v>
      </c>
      <c r="G745" s="41" t="s">
        <v>24</v>
      </c>
      <c r="J745" s="41" t="s">
        <v>218</v>
      </c>
      <c r="K745" s="41" t="s">
        <v>98</v>
      </c>
      <c r="L745" s="58" t="s">
        <v>217</v>
      </c>
      <c r="M745" s="58" t="str">
        <f>LEFT(Table1[[#This Row],[Tegevusala kood]],2)</f>
        <v>08</v>
      </c>
      <c r="N745" s="41" t="str">
        <f>VLOOKUP(Table1[[#This Row],[Tegevusala kood]],Table4[[Tegevusala kood]:[Tegevusala alanimetus]],2,FALSE)</f>
        <v>Laekvere Rahvamaja</v>
      </c>
      <c r="O745" s="41" t="s">
        <v>1</v>
      </c>
      <c r="P745" s="41" t="s">
        <v>1</v>
      </c>
      <c r="Q745" s="41" t="str">
        <f>VLOOKUP(Table1[[#This Row],[Eelarvekonto]],Table5[[Konto]:[Kontode alanimetus]],5,FALSE)</f>
        <v>Majandamiskulud</v>
      </c>
      <c r="R745" s="42" t="str">
        <f>VLOOKUP(Table1[[#This Row],[Tegevusala kood]],Table4[[Tegevusala kood]:[Tegevusala alanimetus]],4,FALSE)</f>
        <v>Rahvakultuur</v>
      </c>
      <c r="S745" s="53"/>
      <c r="T745" s="53"/>
      <c r="U745" s="53">
        <f>Table1[[#This Row],[Summa]]+Table1[[#This Row],[I Muudatus]]+Table1[[#This Row],[II Muudatus]]</f>
        <v>253.68</v>
      </c>
    </row>
    <row r="746" spans="1:21" ht="14.25" hidden="1" customHeight="1" x14ac:dyDescent="0.25">
      <c r="A746" s="41" t="s">
        <v>148</v>
      </c>
      <c r="B746" s="41">
        <v>14400</v>
      </c>
      <c r="C746" s="52">
        <v>551100</v>
      </c>
      <c r="D746" s="52" t="str">
        <f>LEFT(Table1[[#This Row],[Eelarvekonto]],2)</f>
        <v>55</v>
      </c>
      <c r="E746" s="41" t="str">
        <f>VLOOKUP(Table1[[#This Row],[Eelarvekonto]],Table5[[Konto]:[Konto nimetus]],2,FALSE)</f>
        <v>Küte ja soojusenergia</v>
      </c>
      <c r="F746" s="41" t="s">
        <v>139</v>
      </c>
      <c r="G746" s="41" t="s">
        <v>24</v>
      </c>
      <c r="J746" s="41" t="s">
        <v>218</v>
      </c>
      <c r="K746" s="41" t="s">
        <v>98</v>
      </c>
      <c r="L746" s="58" t="s">
        <v>217</v>
      </c>
      <c r="M746" s="58" t="str">
        <f>LEFT(Table1[[#This Row],[Tegevusala kood]],2)</f>
        <v>08</v>
      </c>
      <c r="N746" s="41" t="str">
        <f>VLOOKUP(Table1[[#This Row],[Tegevusala kood]],Table4[[Tegevusala kood]:[Tegevusala alanimetus]],2,FALSE)</f>
        <v>Laekvere Rahvamaja</v>
      </c>
      <c r="O746" s="41" t="s">
        <v>1</v>
      </c>
      <c r="P746" s="41" t="s">
        <v>1</v>
      </c>
      <c r="Q746" s="41" t="str">
        <f>VLOOKUP(Table1[[#This Row],[Eelarvekonto]],Table5[[Konto]:[Kontode alanimetus]],5,FALSE)</f>
        <v>Majandamiskulud</v>
      </c>
      <c r="R746" s="42" t="str">
        <f>VLOOKUP(Table1[[#This Row],[Tegevusala kood]],Table4[[Tegevusala kood]:[Tegevusala alanimetus]],4,FALSE)</f>
        <v>Rahvakultuur</v>
      </c>
      <c r="S746" s="53"/>
      <c r="T746" s="53"/>
      <c r="U746" s="53">
        <f>Table1[[#This Row],[Summa]]+Table1[[#This Row],[I Muudatus]]+Table1[[#This Row],[II Muudatus]]</f>
        <v>14400</v>
      </c>
    </row>
    <row r="747" spans="1:21" ht="14.25" customHeight="1" x14ac:dyDescent="0.25">
      <c r="A747" s="41" t="s">
        <v>1147</v>
      </c>
      <c r="B747" s="41">
        <v>100000</v>
      </c>
      <c r="C747" s="52">
        <v>1551</v>
      </c>
      <c r="D747" s="52" t="str">
        <f>LEFT(Table1[[#This Row],[Eelarvekonto]],2)</f>
        <v>15</v>
      </c>
      <c r="E747" s="41" t="str">
        <f>VLOOKUP(Table1[[#This Row],[Eelarvekonto]],Table5[[Konto]:[Konto nimetus]],2,FALSE)</f>
        <v>Hooned ja rajatised</v>
      </c>
      <c r="F747" s="41" t="s">
        <v>956</v>
      </c>
      <c r="G747" s="41" t="s">
        <v>891</v>
      </c>
      <c r="J747" s="41" t="s">
        <v>726</v>
      </c>
      <c r="K747" s="41" t="s">
        <v>703</v>
      </c>
      <c r="L747" s="58" t="s">
        <v>217</v>
      </c>
      <c r="M747" s="58" t="str">
        <f>LEFT(Table1[[#This Row],[Tegevusala kood]],2)</f>
        <v>08</v>
      </c>
      <c r="N747" s="41" t="str">
        <f>VLOOKUP(Table1[[#This Row],[Tegevusala kood]],Table4[[Tegevusala kood]:[Tegevusala alanimetus]],2,FALSE)</f>
        <v>Laekvere Rahvamaja</v>
      </c>
      <c r="O747" s="41" t="s">
        <v>1</v>
      </c>
      <c r="P747" s="41" t="s">
        <v>1</v>
      </c>
      <c r="Q747" s="41" t="str">
        <f>VLOOKUP(Table1[[#This Row],[Eelarvekonto]],Table5[[Konto]:[Kontode alanimetus]],5,FALSE)</f>
        <v>Põhivara soetus (-)</v>
      </c>
      <c r="R747" s="42" t="str">
        <f>VLOOKUP(Table1[[#This Row],[Tegevusala kood]],Table4[[Tegevusala kood]:[Tegevusala alanimetus]],4,FALSE)</f>
        <v>Rahvakultuur</v>
      </c>
      <c r="S747" s="53"/>
      <c r="T747" s="53"/>
      <c r="U747" s="53">
        <f>Table1[[#This Row],[Summa]]+Table1[[#This Row],[I Muudatus]]+Table1[[#This Row],[II Muudatus]]</f>
        <v>100000</v>
      </c>
    </row>
    <row r="748" spans="1:21" ht="14.25" hidden="1" customHeight="1" x14ac:dyDescent="0.25">
      <c r="A748" s="41" t="s">
        <v>692</v>
      </c>
      <c r="B748" s="41">
        <v>518.4</v>
      </c>
      <c r="C748" s="52">
        <v>5514</v>
      </c>
      <c r="D748" s="52" t="str">
        <f>LEFT(Table1[[#This Row],[Eelarvekonto]],2)</f>
        <v>55</v>
      </c>
      <c r="E748" s="41" t="str">
        <f>VLOOKUP(Table1[[#This Row],[Eelarvekonto]],Table5[[Konto]:[Konto nimetus]],2,FALSE)</f>
        <v>Info- ja kommunikatsioonitehnoloogia kulud</v>
      </c>
      <c r="F748" s="41" t="s">
        <v>139</v>
      </c>
      <c r="G748" s="41" t="s">
        <v>24</v>
      </c>
      <c r="J748" s="41" t="s">
        <v>409</v>
      </c>
      <c r="K748" s="41" t="s">
        <v>408</v>
      </c>
      <c r="L748" s="58" t="s">
        <v>691</v>
      </c>
      <c r="M748" s="58" t="str">
        <f>LEFT(Table1[[#This Row],[Tegevusala kood]],2)</f>
        <v>05</v>
      </c>
      <c r="N748" s="41" t="str">
        <f>VLOOKUP(Table1[[#This Row],[Tegevusala kood]],Table4[[Tegevusala kood]:[Tegevusala alanimetus]],2,FALSE)</f>
        <v>Muu keskkonnakaitse (sh keskkonnakaitse haldus)</v>
      </c>
      <c r="O748" s="41" t="s">
        <v>1</v>
      </c>
      <c r="P748" s="41" t="s">
        <v>1</v>
      </c>
      <c r="Q748" s="41" t="str">
        <f>VLOOKUP(Table1[[#This Row],[Eelarvekonto]],Table5[[Konto]:[Kontode alanimetus]],5,FALSE)</f>
        <v>Majandamiskulud</v>
      </c>
      <c r="R748" s="42" t="str">
        <f>VLOOKUP(Table1[[#This Row],[Tegevusala kood]],Table4[[Tegevusala kood]:[Tegevusala alanimetus]],4,FALSE)</f>
        <v>Muu keskkonnakaitse (sh keskkonnakaitse haldus)</v>
      </c>
      <c r="S748" s="53"/>
      <c r="T748" s="53"/>
      <c r="U748" s="53">
        <f>Table1[[#This Row],[Summa]]+Table1[[#This Row],[I Muudatus]]+Table1[[#This Row],[II Muudatus]]</f>
        <v>518.4</v>
      </c>
    </row>
    <row r="749" spans="1:21" ht="14.25" hidden="1" customHeight="1" x14ac:dyDescent="0.25">
      <c r="A749" s="41" t="s">
        <v>792</v>
      </c>
      <c r="B749" s="41">
        <v>1500</v>
      </c>
      <c r="C749" s="52">
        <v>601</v>
      </c>
      <c r="D749" s="52" t="str">
        <f>LEFT(Table1[[#This Row],[Eelarvekonto]],2)</f>
        <v>60</v>
      </c>
      <c r="E749" s="41" t="str">
        <f>VLOOKUP(Table1[[#This Row],[Eelarvekonto]],Table5[[Konto]:[Konto nimetus]],2,FALSE)</f>
        <v>MAKSU-, LÕIVU-, TRAHVIKULUD</v>
      </c>
      <c r="F749" s="41" t="s">
        <v>139</v>
      </c>
      <c r="G749" s="41" t="s">
        <v>24</v>
      </c>
      <c r="J749" s="41" t="s">
        <v>409</v>
      </c>
      <c r="K749" s="41" t="s">
        <v>408</v>
      </c>
      <c r="L749" s="58" t="s">
        <v>410</v>
      </c>
      <c r="M749" s="58" t="str">
        <f>LEFT(Table1[[#This Row],[Tegevusala kood]],2)</f>
        <v>04</v>
      </c>
      <c r="N749" s="41" t="str">
        <f>VLOOKUP(Table1[[#This Row],[Tegevusala kood]],Table4[[Tegevusala kood]:[Tegevusala alanimetus]],2,FALSE)</f>
        <v>Muu majandus (sh majanduse haldus)</v>
      </c>
      <c r="O749" s="41" t="s">
        <v>1</v>
      </c>
      <c r="P749" s="41" t="s">
        <v>1</v>
      </c>
      <c r="Q749" s="41" t="str">
        <f>VLOOKUP(Table1[[#This Row],[Eelarvekonto]],Table5[[Konto]:[Kontode alanimetus]],5,FALSE)</f>
        <v>Muud kulud</v>
      </c>
      <c r="R749" s="42" t="str">
        <f>VLOOKUP(Table1[[#This Row],[Tegevusala kood]],Table4[[Tegevusala kood]:[Tegevusala alanimetus]],4,FALSE)</f>
        <v>Muu majandus (sh majanduse haldus)</v>
      </c>
      <c r="S749" s="53"/>
      <c r="T749" s="53"/>
      <c r="U749" s="53">
        <f>Table1[[#This Row],[Summa]]+Table1[[#This Row],[I Muudatus]]+Table1[[#This Row],[II Muudatus]]</f>
        <v>1500</v>
      </c>
    </row>
    <row r="750" spans="1:21" ht="14.25" hidden="1" customHeight="1" x14ac:dyDescent="0.25">
      <c r="A750" s="41" t="s">
        <v>188</v>
      </c>
      <c r="B750" s="41">
        <v>1500</v>
      </c>
      <c r="C750" s="52">
        <v>5540</v>
      </c>
      <c r="D750" s="52" t="str">
        <f>LEFT(Table1[[#This Row],[Eelarvekonto]],2)</f>
        <v>55</v>
      </c>
      <c r="E750" s="41" t="str">
        <f>VLOOKUP(Table1[[#This Row],[Eelarvekonto]],Table5[[Konto]:[Konto nimetus]],2,FALSE)</f>
        <v>Mitmesugused majanduskulud</v>
      </c>
      <c r="F750" s="41" t="s">
        <v>139</v>
      </c>
      <c r="G750" s="41" t="s">
        <v>24</v>
      </c>
      <c r="J750" s="41" t="s">
        <v>409</v>
      </c>
      <c r="K750" s="41" t="s">
        <v>408</v>
      </c>
      <c r="L750" s="58" t="s">
        <v>410</v>
      </c>
      <c r="M750" s="58" t="str">
        <f>LEFT(Table1[[#This Row],[Tegevusala kood]],2)</f>
        <v>04</v>
      </c>
      <c r="N750" s="41" t="str">
        <f>VLOOKUP(Table1[[#This Row],[Tegevusala kood]],Table4[[Tegevusala kood]:[Tegevusala alanimetus]],2,FALSE)</f>
        <v>Muu majandus (sh majanduse haldus)</v>
      </c>
      <c r="O750" s="41" t="s">
        <v>1</v>
      </c>
      <c r="P750" s="41" t="s">
        <v>1</v>
      </c>
      <c r="Q750" s="41" t="str">
        <f>VLOOKUP(Table1[[#This Row],[Eelarvekonto]],Table5[[Konto]:[Kontode alanimetus]],5,FALSE)</f>
        <v>Majandamiskulud</v>
      </c>
      <c r="R750" s="42" t="str">
        <f>VLOOKUP(Table1[[#This Row],[Tegevusala kood]],Table4[[Tegevusala kood]:[Tegevusala alanimetus]],4,FALSE)</f>
        <v>Muu majandus (sh majanduse haldus)</v>
      </c>
      <c r="S750" s="53"/>
      <c r="T750" s="53"/>
      <c r="U750" s="53">
        <f>Table1[[#This Row],[Summa]]+Table1[[#This Row],[I Muudatus]]+Table1[[#This Row],[II Muudatus]]</f>
        <v>1500</v>
      </c>
    </row>
    <row r="751" spans="1:21" ht="14.25" hidden="1" customHeight="1" x14ac:dyDescent="0.25">
      <c r="A751" s="41" t="s">
        <v>412</v>
      </c>
      <c r="B751" s="41">
        <v>2000</v>
      </c>
      <c r="C751" s="52">
        <v>5511</v>
      </c>
      <c r="D751" s="52" t="str">
        <f>LEFT(Table1[[#This Row],[Eelarvekonto]],2)</f>
        <v>55</v>
      </c>
      <c r="E751" s="41" t="str">
        <f>VLOOKUP(Table1[[#This Row],[Eelarvekonto]],Table5[[Konto]:[Konto nimetus]],2,FALSE)</f>
        <v>Kinnistute, hoonete ja ruumide majandamiskulud</v>
      </c>
      <c r="F751" s="41" t="s">
        <v>139</v>
      </c>
      <c r="G751" s="41" t="s">
        <v>24</v>
      </c>
      <c r="J751" s="41" t="s">
        <v>409</v>
      </c>
      <c r="K751" s="41" t="s">
        <v>408</v>
      </c>
      <c r="L751" s="58" t="s">
        <v>410</v>
      </c>
      <c r="M751" s="58" t="str">
        <f>LEFT(Table1[[#This Row],[Tegevusala kood]],2)</f>
        <v>04</v>
      </c>
      <c r="N751" s="41" t="str">
        <f>VLOOKUP(Table1[[#This Row],[Tegevusala kood]],Table4[[Tegevusala kood]:[Tegevusala alanimetus]],2,FALSE)</f>
        <v>Muu majandus (sh majanduse haldus)</v>
      </c>
      <c r="O751" s="41" t="s">
        <v>1</v>
      </c>
      <c r="P751" s="41" t="s">
        <v>1</v>
      </c>
      <c r="Q751" s="41" t="str">
        <f>VLOOKUP(Table1[[#This Row],[Eelarvekonto]],Table5[[Konto]:[Kontode alanimetus]],5,FALSE)</f>
        <v>Majandamiskulud</v>
      </c>
      <c r="R751" s="42" t="str">
        <f>VLOOKUP(Table1[[#This Row],[Tegevusala kood]],Table4[[Tegevusala kood]:[Tegevusala alanimetus]],4,FALSE)</f>
        <v>Muu majandus (sh majanduse haldus)</v>
      </c>
      <c r="S751" s="53"/>
      <c r="T751" s="53"/>
      <c r="U751" s="53">
        <f>Table1[[#This Row],[Summa]]+Table1[[#This Row],[I Muudatus]]+Table1[[#This Row],[II Muudatus]]</f>
        <v>2000</v>
      </c>
    </row>
    <row r="752" spans="1:21" ht="14.25" hidden="1" customHeight="1" x14ac:dyDescent="0.25">
      <c r="A752" s="41" t="s">
        <v>1148</v>
      </c>
      <c r="B752" s="41">
        <v>100</v>
      </c>
      <c r="C752" s="52">
        <v>5500</v>
      </c>
      <c r="D752" s="52" t="str">
        <f>LEFT(Table1[[#This Row],[Eelarvekonto]],2)</f>
        <v>55</v>
      </c>
      <c r="E752" s="41" t="str">
        <f>VLOOKUP(Table1[[#This Row],[Eelarvekonto]],Table5[[Konto]:[Konto nimetus]],2,FALSE)</f>
        <v>Administreerimiskulud</v>
      </c>
      <c r="F752" s="41" t="s">
        <v>139</v>
      </c>
      <c r="G752" s="41" t="s">
        <v>24</v>
      </c>
      <c r="J752" s="41" t="s">
        <v>409</v>
      </c>
      <c r="K752" s="41" t="s">
        <v>408</v>
      </c>
      <c r="L752" s="58" t="s">
        <v>410</v>
      </c>
      <c r="M752" s="58" t="str">
        <f>LEFT(Table1[[#This Row],[Tegevusala kood]],2)</f>
        <v>04</v>
      </c>
      <c r="N752" s="41" t="str">
        <f>VLOOKUP(Table1[[#This Row],[Tegevusala kood]],Table4[[Tegevusala kood]:[Tegevusala alanimetus]],2,FALSE)</f>
        <v>Muu majandus (sh majanduse haldus)</v>
      </c>
      <c r="O752" s="41" t="s">
        <v>1</v>
      </c>
      <c r="P752" s="41" t="s">
        <v>1</v>
      </c>
      <c r="Q752" s="41" t="str">
        <f>VLOOKUP(Table1[[#This Row],[Eelarvekonto]],Table5[[Konto]:[Kontode alanimetus]],5,FALSE)</f>
        <v>Majandamiskulud</v>
      </c>
      <c r="R752" s="42" t="str">
        <f>VLOOKUP(Table1[[#This Row],[Tegevusala kood]],Table4[[Tegevusala kood]:[Tegevusala alanimetus]],4,FALSE)</f>
        <v>Muu majandus (sh majanduse haldus)</v>
      </c>
      <c r="S752" s="53"/>
      <c r="T752" s="53"/>
      <c r="U752" s="53">
        <f>Table1[[#This Row],[Summa]]+Table1[[#This Row],[I Muudatus]]+Table1[[#This Row],[II Muudatus]]</f>
        <v>100</v>
      </c>
    </row>
    <row r="753" spans="1:21" ht="14.25" hidden="1" customHeight="1" x14ac:dyDescent="0.25">
      <c r="A753" s="41" t="s">
        <v>570</v>
      </c>
      <c r="B753" s="41">
        <v>360</v>
      </c>
      <c r="C753" s="52">
        <v>5500</v>
      </c>
      <c r="D753" s="52" t="str">
        <f>LEFT(Table1[[#This Row],[Eelarvekonto]],2)</f>
        <v>55</v>
      </c>
      <c r="E753" s="41" t="str">
        <f>VLOOKUP(Table1[[#This Row],[Eelarvekonto]],Table5[[Konto]:[Konto nimetus]],2,FALSE)</f>
        <v>Administreerimiskulud</v>
      </c>
      <c r="F753" s="41" t="s">
        <v>139</v>
      </c>
      <c r="G753" s="41" t="s">
        <v>24</v>
      </c>
      <c r="J753" s="41" t="s">
        <v>409</v>
      </c>
      <c r="K753" s="41" t="s">
        <v>408</v>
      </c>
      <c r="L753" s="58" t="s">
        <v>410</v>
      </c>
      <c r="M753" s="58" t="str">
        <f>LEFT(Table1[[#This Row],[Tegevusala kood]],2)</f>
        <v>04</v>
      </c>
      <c r="N753" s="41" t="str">
        <f>VLOOKUP(Table1[[#This Row],[Tegevusala kood]],Table4[[Tegevusala kood]:[Tegevusala alanimetus]],2,FALSE)</f>
        <v>Muu majandus (sh majanduse haldus)</v>
      </c>
      <c r="O753" s="41" t="s">
        <v>1</v>
      </c>
      <c r="P753" s="41" t="s">
        <v>1</v>
      </c>
      <c r="Q753" s="41" t="str">
        <f>VLOOKUP(Table1[[#This Row],[Eelarvekonto]],Table5[[Konto]:[Kontode alanimetus]],5,FALSE)</f>
        <v>Majandamiskulud</v>
      </c>
      <c r="R753" s="42" t="str">
        <f>VLOOKUP(Table1[[#This Row],[Tegevusala kood]],Table4[[Tegevusala kood]:[Tegevusala alanimetus]],4,FALSE)</f>
        <v>Muu majandus (sh majanduse haldus)</v>
      </c>
      <c r="S753" s="53"/>
      <c r="T753" s="53"/>
      <c r="U753" s="53">
        <f>Table1[[#This Row],[Summa]]+Table1[[#This Row],[I Muudatus]]+Table1[[#This Row],[II Muudatus]]</f>
        <v>360</v>
      </c>
    </row>
    <row r="754" spans="1:21" ht="14.25" hidden="1" customHeight="1" x14ac:dyDescent="0.25">
      <c r="A754" s="41" t="s">
        <v>1149</v>
      </c>
      <c r="B754" s="41">
        <v>3840</v>
      </c>
      <c r="C754" s="52">
        <v>5500</v>
      </c>
      <c r="D754" s="52" t="str">
        <f>LEFT(Table1[[#This Row],[Eelarvekonto]],2)</f>
        <v>55</v>
      </c>
      <c r="E754" s="41" t="str">
        <f>VLOOKUP(Table1[[#This Row],[Eelarvekonto]],Table5[[Konto]:[Konto nimetus]],2,FALSE)</f>
        <v>Administreerimiskulud</v>
      </c>
      <c r="F754" s="41" t="s">
        <v>139</v>
      </c>
      <c r="G754" s="41" t="s">
        <v>24</v>
      </c>
      <c r="J754" s="41" t="s">
        <v>409</v>
      </c>
      <c r="K754" s="41" t="s">
        <v>408</v>
      </c>
      <c r="L754" s="58" t="s">
        <v>410</v>
      </c>
      <c r="M754" s="58" t="str">
        <f>LEFT(Table1[[#This Row],[Tegevusala kood]],2)</f>
        <v>04</v>
      </c>
      <c r="N754" s="41" t="str">
        <f>VLOOKUP(Table1[[#This Row],[Tegevusala kood]],Table4[[Tegevusala kood]:[Tegevusala alanimetus]],2,FALSE)</f>
        <v>Muu majandus (sh majanduse haldus)</v>
      </c>
      <c r="O754" s="41" t="s">
        <v>1</v>
      </c>
      <c r="P754" s="41" t="s">
        <v>1</v>
      </c>
      <c r="Q754" s="41" t="str">
        <f>VLOOKUP(Table1[[#This Row],[Eelarvekonto]],Table5[[Konto]:[Kontode alanimetus]],5,FALSE)</f>
        <v>Majandamiskulud</v>
      </c>
      <c r="R754" s="42" t="str">
        <f>VLOOKUP(Table1[[#This Row],[Tegevusala kood]],Table4[[Tegevusala kood]:[Tegevusala alanimetus]],4,FALSE)</f>
        <v>Muu majandus (sh majanduse haldus)</v>
      </c>
      <c r="S754" s="53"/>
      <c r="T754" s="53"/>
      <c r="U754" s="53">
        <f>Table1[[#This Row],[Summa]]+Table1[[#This Row],[I Muudatus]]+Table1[[#This Row],[II Muudatus]]</f>
        <v>3840</v>
      </c>
    </row>
    <row r="755" spans="1:21" ht="14.25" hidden="1" customHeight="1" x14ac:dyDescent="0.25">
      <c r="A755" s="41" t="s">
        <v>1150</v>
      </c>
      <c r="B755" s="41">
        <v>1750</v>
      </c>
      <c r="C755" s="52">
        <v>5504</v>
      </c>
      <c r="D755" s="52" t="str">
        <f>LEFT(Table1[[#This Row],[Eelarvekonto]],2)</f>
        <v>55</v>
      </c>
      <c r="E755" s="41" t="str">
        <f>VLOOKUP(Table1[[#This Row],[Eelarvekonto]],Table5[[Konto]:[Konto nimetus]],2,FALSE)</f>
        <v>Koolituskulud (sh koolituslähetus)</v>
      </c>
      <c r="F755" s="41" t="s">
        <v>139</v>
      </c>
      <c r="G755" s="41" t="s">
        <v>24</v>
      </c>
      <c r="J755" s="41" t="s">
        <v>409</v>
      </c>
      <c r="K755" s="41" t="s">
        <v>408</v>
      </c>
      <c r="L755" s="58" t="s">
        <v>410</v>
      </c>
      <c r="M755" s="58" t="str">
        <f>LEFT(Table1[[#This Row],[Tegevusala kood]],2)</f>
        <v>04</v>
      </c>
      <c r="N755" s="41" t="str">
        <f>VLOOKUP(Table1[[#This Row],[Tegevusala kood]],Table4[[Tegevusala kood]:[Tegevusala alanimetus]],2,FALSE)</f>
        <v>Muu majandus (sh majanduse haldus)</v>
      </c>
      <c r="O755" s="41" t="s">
        <v>1</v>
      </c>
      <c r="P755" s="41" t="s">
        <v>1</v>
      </c>
      <c r="Q755" s="41" t="str">
        <f>VLOOKUP(Table1[[#This Row],[Eelarvekonto]],Table5[[Konto]:[Kontode alanimetus]],5,FALSE)</f>
        <v>Majandamiskulud</v>
      </c>
      <c r="R755" s="42" t="str">
        <f>VLOOKUP(Table1[[#This Row],[Tegevusala kood]],Table4[[Tegevusala kood]:[Tegevusala alanimetus]],4,FALSE)</f>
        <v>Muu majandus (sh majanduse haldus)</v>
      </c>
      <c r="S755" s="53"/>
      <c r="T755" s="53"/>
      <c r="U755" s="53">
        <f>Table1[[#This Row],[Summa]]+Table1[[#This Row],[I Muudatus]]+Table1[[#This Row],[II Muudatus]]</f>
        <v>1750</v>
      </c>
    </row>
    <row r="756" spans="1:21" ht="14.25" hidden="1" customHeight="1" x14ac:dyDescent="0.25">
      <c r="A756" s="41" t="s">
        <v>705</v>
      </c>
      <c r="B756" s="41">
        <v>3000</v>
      </c>
      <c r="C756" s="52">
        <v>4500</v>
      </c>
      <c r="D756" s="52" t="str">
        <f>LEFT(Table1[[#This Row],[Eelarvekonto]],2)</f>
        <v>45</v>
      </c>
      <c r="E756" s="41" t="str">
        <f>VLOOKUP(Table1[[#This Row],[Eelarvekonto]],Table5[[Konto]:[Konto nimetus]],2,FALSE)</f>
        <v>Antud sihtfinantseerimine tegevuskuludeks</v>
      </c>
      <c r="F756" s="41" t="s">
        <v>139</v>
      </c>
      <c r="G756" s="41" t="s">
        <v>24</v>
      </c>
      <c r="J756" s="41" t="s">
        <v>409</v>
      </c>
      <c r="K756" s="41" t="s">
        <v>408</v>
      </c>
      <c r="L756" s="58" t="s">
        <v>410</v>
      </c>
      <c r="M756" s="58" t="str">
        <f>LEFT(Table1[[#This Row],[Tegevusala kood]],2)</f>
        <v>04</v>
      </c>
      <c r="N756" s="41" t="str">
        <f>VLOOKUP(Table1[[#This Row],[Tegevusala kood]],Table4[[Tegevusala kood]:[Tegevusala alanimetus]],2,FALSE)</f>
        <v>Muu majandus (sh majanduse haldus)</v>
      </c>
      <c r="O756" s="41" t="s">
        <v>1</v>
      </c>
      <c r="P756" s="41" t="s">
        <v>1</v>
      </c>
      <c r="Q756" s="41" t="str">
        <f>VLOOKUP(Table1[[#This Row],[Eelarvekonto]],Table5[[Konto]:[Kontode alanimetus]],5,FALSE)</f>
        <v>Sihtotstarbelised toetused tegevuskuludeks</v>
      </c>
      <c r="R756" s="42" t="str">
        <f>VLOOKUP(Table1[[#This Row],[Tegevusala kood]],Table4[[Tegevusala kood]:[Tegevusala alanimetus]],4,FALSE)</f>
        <v>Muu majandus (sh majanduse haldus)</v>
      </c>
      <c r="S756" s="53"/>
      <c r="T756" s="53"/>
      <c r="U756" s="53">
        <f>Table1[[#This Row],[Summa]]+Table1[[#This Row],[I Muudatus]]+Table1[[#This Row],[II Muudatus]]</f>
        <v>3000</v>
      </c>
    </row>
    <row r="757" spans="1:21" ht="14.25" hidden="1" customHeight="1" x14ac:dyDescent="0.25">
      <c r="A757" s="41" t="s">
        <v>1151</v>
      </c>
      <c r="B757" s="41">
        <v>3000</v>
      </c>
      <c r="C757" s="52">
        <v>4500</v>
      </c>
      <c r="D757" s="52" t="str">
        <f>LEFT(Table1[[#This Row],[Eelarvekonto]],2)</f>
        <v>45</v>
      </c>
      <c r="E757" s="41" t="str">
        <f>VLOOKUP(Table1[[#This Row],[Eelarvekonto]],Table5[[Konto]:[Konto nimetus]],2,FALSE)</f>
        <v>Antud sihtfinantseerimine tegevuskuludeks</v>
      </c>
      <c r="F757" s="41" t="s">
        <v>139</v>
      </c>
      <c r="G757" s="41" t="s">
        <v>24</v>
      </c>
      <c r="J757" s="41" t="s">
        <v>409</v>
      </c>
      <c r="K757" s="41" t="s">
        <v>408</v>
      </c>
      <c r="L757" s="58" t="s">
        <v>410</v>
      </c>
      <c r="M757" s="58" t="str">
        <f>LEFT(Table1[[#This Row],[Tegevusala kood]],2)</f>
        <v>04</v>
      </c>
      <c r="N757" s="41" t="str">
        <f>VLOOKUP(Table1[[#This Row],[Tegevusala kood]],Table4[[Tegevusala kood]:[Tegevusala alanimetus]],2,FALSE)</f>
        <v>Muu majandus (sh majanduse haldus)</v>
      </c>
      <c r="O757" s="41" t="s">
        <v>1</v>
      </c>
      <c r="P757" s="41" t="s">
        <v>1</v>
      </c>
      <c r="Q757" s="41" t="str">
        <f>VLOOKUP(Table1[[#This Row],[Eelarvekonto]],Table5[[Konto]:[Kontode alanimetus]],5,FALSE)</f>
        <v>Sihtotstarbelised toetused tegevuskuludeks</v>
      </c>
      <c r="R757" s="42" t="str">
        <f>VLOOKUP(Table1[[#This Row],[Tegevusala kood]],Table4[[Tegevusala kood]:[Tegevusala alanimetus]],4,FALSE)</f>
        <v>Muu majandus (sh majanduse haldus)</v>
      </c>
      <c r="S757" s="53"/>
      <c r="T757" s="53"/>
      <c r="U757" s="53">
        <f>Table1[[#This Row],[Summa]]+Table1[[#This Row],[I Muudatus]]+Table1[[#This Row],[II Muudatus]]</f>
        <v>3000</v>
      </c>
    </row>
    <row r="758" spans="1:21" ht="14.25" hidden="1" customHeight="1" x14ac:dyDescent="0.25">
      <c r="A758" s="41" t="s">
        <v>158</v>
      </c>
      <c r="B758" s="41">
        <v>35490</v>
      </c>
      <c r="C758" s="52">
        <v>506</v>
      </c>
      <c r="D758" s="52" t="str">
        <f>LEFT(Table1[[#This Row],[Eelarvekonto]],2)</f>
        <v>50</v>
      </c>
      <c r="E758" s="41" t="str">
        <f>VLOOKUP(Table1[[#This Row],[Eelarvekonto]],Table5[[Konto]:[Konto nimetus]],2,FALSE)</f>
        <v>Tööjõukuludega kaasnevad maksud ja sotsiaalkindlustusmaksed</v>
      </c>
      <c r="F758" s="41" t="s">
        <v>139</v>
      </c>
      <c r="G758" s="41" t="s">
        <v>24</v>
      </c>
      <c r="J758" s="41" t="s">
        <v>409</v>
      </c>
      <c r="K758" s="41" t="s">
        <v>408</v>
      </c>
      <c r="L758" s="58" t="s">
        <v>410</v>
      </c>
      <c r="M758" s="58" t="str">
        <f>LEFT(Table1[[#This Row],[Tegevusala kood]],2)</f>
        <v>04</v>
      </c>
      <c r="N758" s="41" t="str">
        <f>VLOOKUP(Table1[[#This Row],[Tegevusala kood]],Table4[[Tegevusala kood]:[Tegevusala alanimetus]],2,FALSE)</f>
        <v>Muu majandus (sh majanduse haldus)</v>
      </c>
      <c r="O758" s="41" t="s">
        <v>1</v>
      </c>
      <c r="P758" s="41" t="s">
        <v>1</v>
      </c>
      <c r="Q758" s="41" t="str">
        <f>VLOOKUP(Table1[[#This Row],[Eelarvekonto]],Table5[[Konto]:[Kontode alanimetus]],5,FALSE)</f>
        <v>Tööjõukulud</v>
      </c>
      <c r="R758" s="42" t="str">
        <f>VLOOKUP(Table1[[#This Row],[Tegevusala kood]],Table4[[Tegevusala kood]:[Tegevusala alanimetus]],4,FALSE)</f>
        <v>Muu majandus (sh majanduse haldus)</v>
      </c>
      <c r="S758" s="53"/>
      <c r="T758" s="53"/>
      <c r="U758" s="53">
        <f>Table1[[#This Row],[Summa]]+Table1[[#This Row],[I Muudatus]]+Table1[[#This Row],[II Muudatus]]</f>
        <v>35490</v>
      </c>
    </row>
    <row r="759" spans="1:21" ht="14.25" hidden="1" customHeight="1" x14ac:dyDescent="0.25">
      <c r="A759" s="41" t="s">
        <v>422</v>
      </c>
      <c r="B759" s="41">
        <v>22800</v>
      </c>
      <c r="C759" s="52">
        <v>5001</v>
      </c>
      <c r="D759" s="52" t="str">
        <f>LEFT(Table1[[#This Row],[Eelarvekonto]],2)</f>
        <v>50</v>
      </c>
      <c r="E759" s="41" t="str">
        <f>VLOOKUP(Table1[[#This Row],[Eelarvekonto]],Table5[[Konto]:[Konto nimetus]],2,FALSE)</f>
        <v xml:space="preserve"> Avaliku teenistuse ametnike töötasu</v>
      </c>
      <c r="F759" s="41" t="s">
        <v>139</v>
      </c>
      <c r="G759" s="41" t="s">
        <v>24</v>
      </c>
      <c r="J759" s="41" t="s">
        <v>409</v>
      </c>
      <c r="K759" s="41" t="s">
        <v>408</v>
      </c>
      <c r="L759" s="58" t="s">
        <v>410</v>
      </c>
      <c r="M759" s="58" t="str">
        <f>LEFT(Table1[[#This Row],[Tegevusala kood]],2)</f>
        <v>04</v>
      </c>
      <c r="N759" s="41" t="str">
        <f>VLOOKUP(Table1[[#This Row],[Tegevusala kood]],Table4[[Tegevusala kood]:[Tegevusala alanimetus]],2,FALSE)</f>
        <v>Muu majandus (sh majanduse haldus)</v>
      </c>
      <c r="O759" s="41" t="s">
        <v>1</v>
      </c>
      <c r="P759" s="41" t="s">
        <v>1</v>
      </c>
      <c r="Q759" s="41" t="str">
        <f>VLOOKUP(Table1[[#This Row],[Eelarvekonto]],Table5[[Konto]:[Kontode alanimetus]],5,FALSE)</f>
        <v>Tööjõukulud</v>
      </c>
      <c r="R759" s="42" t="str">
        <f>VLOOKUP(Table1[[#This Row],[Tegevusala kood]],Table4[[Tegevusala kood]:[Tegevusala alanimetus]],4,FALSE)</f>
        <v>Muu majandus (sh majanduse haldus)</v>
      </c>
      <c r="S759" s="53"/>
      <c r="T759" s="53"/>
      <c r="U759" s="53">
        <f>Table1[[#This Row],[Summa]]+Table1[[#This Row],[I Muudatus]]+Table1[[#This Row],[II Muudatus]]</f>
        <v>22800</v>
      </c>
    </row>
    <row r="760" spans="1:21" ht="14.25" hidden="1" customHeight="1" x14ac:dyDescent="0.25">
      <c r="A760" s="41" t="s">
        <v>704</v>
      </c>
      <c r="B760" s="41">
        <v>19200</v>
      </c>
      <c r="C760" s="52">
        <v>5001</v>
      </c>
      <c r="D760" s="52" t="str">
        <f>LEFT(Table1[[#This Row],[Eelarvekonto]],2)</f>
        <v>50</v>
      </c>
      <c r="E760" s="41" t="str">
        <f>VLOOKUP(Table1[[#This Row],[Eelarvekonto]],Table5[[Konto]:[Konto nimetus]],2,FALSE)</f>
        <v xml:space="preserve"> Avaliku teenistuse ametnike töötasu</v>
      </c>
      <c r="F760" s="41" t="s">
        <v>139</v>
      </c>
      <c r="G760" s="41" t="s">
        <v>24</v>
      </c>
      <c r="J760" s="41" t="s">
        <v>409</v>
      </c>
      <c r="K760" s="41" t="s">
        <v>408</v>
      </c>
      <c r="L760" s="58" t="s">
        <v>410</v>
      </c>
      <c r="M760" s="58" t="str">
        <f>LEFT(Table1[[#This Row],[Tegevusala kood]],2)</f>
        <v>04</v>
      </c>
      <c r="N760" s="41" t="str">
        <f>VLOOKUP(Table1[[#This Row],[Tegevusala kood]],Table4[[Tegevusala kood]:[Tegevusala alanimetus]],2,FALSE)</f>
        <v>Muu majandus (sh majanduse haldus)</v>
      </c>
      <c r="O760" s="41" t="s">
        <v>1</v>
      </c>
      <c r="P760" s="41" t="s">
        <v>1</v>
      </c>
      <c r="Q760" s="41" t="str">
        <f>VLOOKUP(Table1[[#This Row],[Eelarvekonto]],Table5[[Konto]:[Kontode alanimetus]],5,FALSE)</f>
        <v>Tööjõukulud</v>
      </c>
      <c r="R760" s="42" t="str">
        <f>VLOOKUP(Table1[[#This Row],[Tegevusala kood]],Table4[[Tegevusala kood]:[Tegevusala alanimetus]],4,FALSE)</f>
        <v>Muu majandus (sh majanduse haldus)</v>
      </c>
      <c r="S760" s="53"/>
      <c r="T760" s="53"/>
      <c r="U760" s="53">
        <f>Table1[[#This Row],[Summa]]+Table1[[#This Row],[I Muudatus]]+Table1[[#This Row],[II Muudatus]]</f>
        <v>19200</v>
      </c>
    </row>
    <row r="761" spans="1:21" ht="14.25" hidden="1" customHeight="1" x14ac:dyDescent="0.25">
      <c r="A761" s="41" t="s">
        <v>703</v>
      </c>
      <c r="B761" s="41">
        <v>21000</v>
      </c>
      <c r="C761" s="52">
        <v>5001</v>
      </c>
      <c r="D761" s="52" t="str">
        <f>LEFT(Table1[[#This Row],[Eelarvekonto]],2)</f>
        <v>50</v>
      </c>
      <c r="E761" s="41" t="str">
        <f>VLOOKUP(Table1[[#This Row],[Eelarvekonto]],Table5[[Konto]:[Konto nimetus]],2,FALSE)</f>
        <v xml:space="preserve"> Avaliku teenistuse ametnike töötasu</v>
      </c>
      <c r="F761" s="41" t="s">
        <v>139</v>
      </c>
      <c r="G761" s="41" t="s">
        <v>24</v>
      </c>
      <c r="J761" s="41" t="s">
        <v>409</v>
      </c>
      <c r="K761" s="41" t="s">
        <v>408</v>
      </c>
      <c r="L761" s="58" t="s">
        <v>410</v>
      </c>
      <c r="M761" s="58" t="str">
        <f>LEFT(Table1[[#This Row],[Tegevusala kood]],2)</f>
        <v>04</v>
      </c>
      <c r="N761" s="41" t="str">
        <f>VLOOKUP(Table1[[#This Row],[Tegevusala kood]],Table4[[Tegevusala kood]:[Tegevusala alanimetus]],2,FALSE)</f>
        <v>Muu majandus (sh majanduse haldus)</v>
      </c>
      <c r="O761" s="41" t="s">
        <v>1</v>
      </c>
      <c r="P761" s="41" t="s">
        <v>1</v>
      </c>
      <c r="Q761" s="41" t="str">
        <f>VLOOKUP(Table1[[#This Row],[Eelarvekonto]],Table5[[Konto]:[Kontode alanimetus]],5,FALSE)</f>
        <v>Tööjõukulud</v>
      </c>
      <c r="R761" s="42" t="str">
        <f>VLOOKUP(Table1[[#This Row],[Tegevusala kood]],Table4[[Tegevusala kood]:[Tegevusala alanimetus]],4,FALSE)</f>
        <v>Muu majandus (sh majanduse haldus)</v>
      </c>
      <c r="S761" s="53"/>
      <c r="T761" s="53"/>
      <c r="U761" s="53">
        <f>Table1[[#This Row],[Summa]]+Table1[[#This Row],[I Muudatus]]+Table1[[#This Row],[II Muudatus]]</f>
        <v>21000</v>
      </c>
    </row>
    <row r="762" spans="1:21" ht="14.25" hidden="1" customHeight="1" x14ac:dyDescent="0.25">
      <c r="A762" s="41" t="s">
        <v>702</v>
      </c>
      <c r="B762" s="41">
        <v>21000</v>
      </c>
      <c r="C762" s="52">
        <v>5001</v>
      </c>
      <c r="D762" s="52" t="str">
        <f>LEFT(Table1[[#This Row],[Eelarvekonto]],2)</f>
        <v>50</v>
      </c>
      <c r="E762" s="41" t="str">
        <f>VLOOKUP(Table1[[#This Row],[Eelarvekonto]],Table5[[Konto]:[Konto nimetus]],2,FALSE)</f>
        <v xml:space="preserve"> Avaliku teenistuse ametnike töötasu</v>
      </c>
      <c r="F762" s="41" t="s">
        <v>139</v>
      </c>
      <c r="G762" s="41" t="s">
        <v>24</v>
      </c>
      <c r="J762" s="41" t="s">
        <v>409</v>
      </c>
      <c r="K762" s="41" t="s">
        <v>408</v>
      </c>
      <c r="L762" s="58" t="s">
        <v>410</v>
      </c>
      <c r="M762" s="58" t="str">
        <f>LEFT(Table1[[#This Row],[Tegevusala kood]],2)</f>
        <v>04</v>
      </c>
      <c r="N762" s="41" t="str">
        <f>VLOOKUP(Table1[[#This Row],[Tegevusala kood]],Table4[[Tegevusala kood]:[Tegevusala alanimetus]],2,FALSE)</f>
        <v>Muu majandus (sh majanduse haldus)</v>
      </c>
      <c r="O762" s="41" t="s">
        <v>1</v>
      </c>
      <c r="P762" s="41" t="s">
        <v>1</v>
      </c>
      <c r="Q762" s="41" t="str">
        <f>VLOOKUP(Table1[[#This Row],[Eelarvekonto]],Table5[[Konto]:[Kontode alanimetus]],5,FALSE)</f>
        <v>Tööjõukulud</v>
      </c>
      <c r="R762" s="42" t="str">
        <f>VLOOKUP(Table1[[#This Row],[Tegevusala kood]],Table4[[Tegevusala kood]:[Tegevusala alanimetus]],4,FALSE)</f>
        <v>Muu majandus (sh majanduse haldus)</v>
      </c>
      <c r="S762" s="53"/>
      <c r="T762" s="53"/>
      <c r="U762" s="53">
        <f>Table1[[#This Row],[Summa]]+Table1[[#This Row],[I Muudatus]]+Table1[[#This Row],[II Muudatus]]</f>
        <v>21000</v>
      </c>
    </row>
    <row r="763" spans="1:21" ht="14.25" hidden="1" customHeight="1" x14ac:dyDescent="0.25">
      <c r="A763" s="41" t="s">
        <v>701</v>
      </c>
      <c r="B763" s="41">
        <v>21000</v>
      </c>
      <c r="C763" s="52">
        <v>5001</v>
      </c>
      <c r="D763" s="52" t="str">
        <f>LEFT(Table1[[#This Row],[Eelarvekonto]],2)</f>
        <v>50</v>
      </c>
      <c r="E763" s="41" t="str">
        <f>VLOOKUP(Table1[[#This Row],[Eelarvekonto]],Table5[[Konto]:[Konto nimetus]],2,FALSE)</f>
        <v xml:space="preserve"> Avaliku teenistuse ametnike töötasu</v>
      </c>
      <c r="F763" s="41" t="s">
        <v>139</v>
      </c>
      <c r="G763" s="41" t="s">
        <v>24</v>
      </c>
      <c r="J763" s="41" t="s">
        <v>409</v>
      </c>
      <c r="K763" s="41" t="s">
        <v>408</v>
      </c>
      <c r="L763" s="58" t="s">
        <v>410</v>
      </c>
      <c r="M763" s="58" t="str">
        <f>LEFT(Table1[[#This Row],[Tegevusala kood]],2)</f>
        <v>04</v>
      </c>
      <c r="N763" s="41" t="str">
        <f>VLOOKUP(Table1[[#This Row],[Tegevusala kood]],Table4[[Tegevusala kood]:[Tegevusala alanimetus]],2,FALSE)</f>
        <v>Muu majandus (sh majanduse haldus)</v>
      </c>
      <c r="O763" s="41" t="s">
        <v>1</v>
      </c>
      <c r="P763" s="41" t="s">
        <v>1</v>
      </c>
      <c r="Q763" s="41" t="str">
        <f>VLOOKUP(Table1[[#This Row],[Eelarvekonto]],Table5[[Konto]:[Kontode alanimetus]],5,FALSE)</f>
        <v>Tööjõukulud</v>
      </c>
      <c r="R763" s="42" t="str">
        <f>VLOOKUP(Table1[[#This Row],[Tegevusala kood]],Table4[[Tegevusala kood]:[Tegevusala alanimetus]],4,FALSE)</f>
        <v>Muu majandus (sh majanduse haldus)</v>
      </c>
      <c r="S763" s="53"/>
      <c r="T763" s="53"/>
      <c r="U763" s="53">
        <f>Table1[[#This Row],[Summa]]+Table1[[#This Row],[I Muudatus]]+Table1[[#This Row],[II Muudatus]]</f>
        <v>21000</v>
      </c>
    </row>
    <row r="764" spans="1:21" ht="14.25" hidden="1" customHeight="1" x14ac:dyDescent="0.25">
      <c r="A764" s="41" t="s">
        <v>188</v>
      </c>
      <c r="B764" s="41">
        <v>500</v>
      </c>
      <c r="C764" s="52">
        <v>5540</v>
      </c>
      <c r="D764" s="52" t="str">
        <f>LEFT(Table1[[#This Row],[Eelarvekonto]],2)</f>
        <v>55</v>
      </c>
      <c r="E764" s="41" t="str">
        <f>VLOOKUP(Table1[[#This Row],[Eelarvekonto]],Table5[[Konto]:[Konto nimetus]],2,FALSE)</f>
        <v>Mitmesugused majanduskulud</v>
      </c>
      <c r="F764" s="41" t="s">
        <v>139</v>
      </c>
      <c r="G764" s="41" t="s">
        <v>24</v>
      </c>
      <c r="J764" s="41" t="s">
        <v>409</v>
      </c>
      <c r="K764" s="41" t="s">
        <v>408</v>
      </c>
      <c r="L764" s="58" t="s">
        <v>410</v>
      </c>
      <c r="M764" s="58" t="str">
        <f>LEFT(Table1[[#This Row],[Tegevusala kood]],2)</f>
        <v>04</v>
      </c>
      <c r="N764" s="41" t="str">
        <f>VLOOKUP(Table1[[#This Row],[Tegevusala kood]],Table4[[Tegevusala kood]:[Tegevusala alanimetus]],2,FALSE)</f>
        <v>Muu majandus (sh majanduse haldus)</v>
      </c>
      <c r="O764" s="41" t="s">
        <v>1</v>
      </c>
      <c r="P764" s="41" t="s">
        <v>1</v>
      </c>
      <c r="Q764" s="41" t="str">
        <f>VLOOKUP(Table1[[#This Row],[Eelarvekonto]],Table5[[Konto]:[Kontode alanimetus]],5,FALSE)</f>
        <v>Majandamiskulud</v>
      </c>
      <c r="R764" s="42" t="str">
        <f>VLOOKUP(Table1[[#This Row],[Tegevusala kood]],Table4[[Tegevusala kood]:[Tegevusala alanimetus]],4,FALSE)</f>
        <v>Muu majandus (sh majanduse haldus)</v>
      </c>
      <c r="S764" s="53"/>
      <c r="T764" s="53"/>
      <c r="U764" s="53">
        <f>Table1[[#This Row],[Summa]]+Table1[[#This Row],[I Muudatus]]+Table1[[#This Row],[II Muudatus]]</f>
        <v>500</v>
      </c>
    </row>
    <row r="765" spans="1:21" ht="14.25" hidden="1" customHeight="1" x14ac:dyDescent="0.25">
      <c r="A765" s="41" t="s">
        <v>700</v>
      </c>
      <c r="B765" s="41">
        <v>1800</v>
      </c>
      <c r="C765" s="52">
        <v>5513081</v>
      </c>
      <c r="D765" s="52" t="str">
        <f>LEFT(Table1[[#This Row],[Eelarvekonto]],2)</f>
        <v>55</v>
      </c>
      <c r="E765" s="41" t="str">
        <f>VLOOKUP(Table1[[#This Row],[Eelarvekonto]],Table5[[Konto]:[Konto nimetus]],2,FALSE)</f>
        <v>Isikliku sõiduauto kompensatsioon</v>
      </c>
      <c r="F765" s="41" t="s">
        <v>139</v>
      </c>
      <c r="G765" s="41" t="s">
        <v>24</v>
      </c>
      <c r="J765" s="41" t="s">
        <v>409</v>
      </c>
      <c r="K765" s="41" t="s">
        <v>408</v>
      </c>
      <c r="L765" s="58" t="s">
        <v>410</v>
      </c>
      <c r="M765" s="58" t="str">
        <f>LEFT(Table1[[#This Row],[Tegevusala kood]],2)</f>
        <v>04</v>
      </c>
      <c r="N765" s="41" t="str">
        <f>VLOOKUP(Table1[[#This Row],[Tegevusala kood]],Table4[[Tegevusala kood]:[Tegevusala alanimetus]],2,FALSE)</f>
        <v>Muu majandus (sh majanduse haldus)</v>
      </c>
      <c r="O765" s="41" t="s">
        <v>1</v>
      </c>
      <c r="P765" s="41" t="s">
        <v>1</v>
      </c>
      <c r="Q765" s="41" t="str">
        <f>VLOOKUP(Table1[[#This Row],[Eelarvekonto]],Table5[[Konto]:[Kontode alanimetus]],5,FALSE)</f>
        <v>Majandamiskulud</v>
      </c>
      <c r="R765" s="42" t="str">
        <f>VLOOKUP(Table1[[#This Row],[Tegevusala kood]],Table4[[Tegevusala kood]:[Tegevusala alanimetus]],4,FALSE)</f>
        <v>Muu majandus (sh majanduse haldus)</v>
      </c>
      <c r="S765" s="53"/>
      <c r="T765" s="53"/>
      <c r="U765" s="53">
        <f>Table1[[#This Row],[Summa]]+Table1[[#This Row],[I Muudatus]]+Table1[[#This Row],[II Muudatus]]</f>
        <v>1800</v>
      </c>
    </row>
    <row r="766" spans="1:21" ht="14.25" hidden="1" customHeight="1" x14ac:dyDescent="0.25">
      <c r="A766" s="41" t="s">
        <v>699</v>
      </c>
      <c r="B766" s="41">
        <v>1800</v>
      </c>
      <c r="C766" s="52">
        <v>5513081</v>
      </c>
      <c r="D766" s="52" t="str">
        <f>LEFT(Table1[[#This Row],[Eelarvekonto]],2)</f>
        <v>55</v>
      </c>
      <c r="E766" s="41" t="str">
        <f>VLOOKUP(Table1[[#This Row],[Eelarvekonto]],Table5[[Konto]:[Konto nimetus]],2,FALSE)</f>
        <v>Isikliku sõiduauto kompensatsioon</v>
      </c>
      <c r="F766" s="41" t="s">
        <v>139</v>
      </c>
      <c r="G766" s="41" t="s">
        <v>24</v>
      </c>
      <c r="J766" s="41" t="s">
        <v>409</v>
      </c>
      <c r="K766" s="41" t="s">
        <v>408</v>
      </c>
      <c r="L766" s="58" t="s">
        <v>410</v>
      </c>
      <c r="M766" s="58" t="str">
        <f>LEFT(Table1[[#This Row],[Tegevusala kood]],2)</f>
        <v>04</v>
      </c>
      <c r="N766" s="41" t="str">
        <f>VLOOKUP(Table1[[#This Row],[Tegevusala kood]],Table4[[Tegevusala kood]:[Tegevusala alanimetus]],2,FALSE)</f>
        <v>Muu majandus (sh majanduse haldus)</v>
      </c>
      <c r="O766" s="41" t="s">
        <v>1</v>
      </c>
      <c r="P766" s="41" t="s">
        <v>1</v>
      </c>
      <c r="Q766" s="41" t="str">
        <f>VLOOKUP(Table1[[#This Row],[Eelarvekonto]],Table5[[Konto]:[Kontode alanimetus]],5,FALSE)</f>
        <v>Majandamiskulud</v>
      </c>
      <c r="R766" s="42" t="str">
        <f>VLOOKUP(Table1[[#This Row],[Tegevusala kood]],Table4[[Tegevusala kood]:[Tegevusala alanimetus]],4,FALSE)</f>
        <v>Muu majandus (sh majanduse haldus)</v>
      </c>
      <c r="S766" s="53"/>
      <c r="T766" s="53"/>
      <c r="U766" s="53">
        <f>Table1[[#This Row],[Summa]]+Table1[[#This Row],[I Muudatus]]+Table1[[#This Row],[II Muudatus]]</f>
        <v>1800</v>
      </c>
    </row>
    <row r="767" spans="1:21" ht="14.25" hidden="1" customHeight="1" x14ac:dyDescent="0.25">
      <c r="A767" s="41" t="s">
        <v>698</v>
      </c>
      <c r="B767" s="41">
        <v>1800</v>
      </c>
      <c r="C767" s="52">
        <v>5513081</v>
      </c>
      <c r="D767" s="52" t="str">
        <f>LEFT(Table1[[#This Row],[Eelarvekonto]],2)</f>
        <v>55</v>
      </c>
      <c r="E767" s="41" t="str">
        <f>VLOOKUP(Table1[[#This Row],[Eelarvekonto]],Table5[[Konto]:[Konto nimetus]],2,FALSE)</f>
        <v>Isikliku sõiduauto kompensatsioon</v>
      </c>
      <c r="F767" s="41" t="s">
        <v>139</v>
      </c>
      <c r="G767" s="41" t="s">
        <v>24</v>
      </c>
      <c r="J767" s="41" t="s">
        <v>409</v>
      </c>
      <c r="K767" s="41" t="s">
        <v>408</v>
      </c>
      <c r="L767" s="58" t="s">
        <v>410</v>
      </c>
      <c r="M767" s="58" t="str">
        <f>LEFT(Table1[[#This Row],[Tegevusala kood]],2)</f>
        <v>04</v>
      </c>
      <c r="N767" s="41" t="str">
        <f>VLOOKUP(Table1[[#This Row],[Tegevusala kood]],Table4[[Tegevusala kood]:[Tegevusala alanimetus]],2,FALSE)</f>
        <v>Muu majandus (sh majanduse haldus)</v>
      </c>
      <c r="O767" s="41" t="s">
        <v>1</v>
      </c>
      <c r="P767" s="41" t="s">
        <v>1</v>
      </c>
      <c r="Q767" s="41" t="str">
        <f>VLOOKUP(Table1[[#This Row],[Eelarvekonto]],Table5[[Konto]:[Kontode alanimetus]],5,FALSE)</f>
        <v>Majandamiskulud</v>
      </c>
      <c r="R767" s="42" t="str">
        <f>VLOOKUP(Table1[[#This Row],[Tegevusala kood]],Table4[[Tegevusala kood]:[Tegevusala alanimetus]],4,FALSE)</f>
        <v>Muu majandus (sh majanduse haldus)</v>
      </c>
      <c r="S767" s="53"/>
      <c r="T767" s="53"/>
      <c r="U767" s="53">
        <f>Table1[[#This Row],[Summa]]+Table1[[#This Row],[I Muudatus]]+Table1[[#This Row],[II Muudatus]]</f>
        <v>1800</v>
      </c>
    </row>
    <row r="768" spans="1:21" ht="14.25" hidden="1" customHeight="1" x14ac:dyDescent="0.25">
      <c r="A768" s="41" t="s">
        <v>697</v>
      </c>
      <c r="B768" s="41">
        <v>1800</v>
      </c>
      <c r="C768" s="52">
        <v>5513081</v>
      </c>
      <c r="D768" s="52" t="str">
        <f>LEFT(Table1[[#This Row],[Eelarvekonto]],2)</f>
        <v>55</v>
      </c>
      <c r="E768" s="41" t="str">
        <f>VLOOKUP(Table1[[#This Row],[Eelarvekonto]],Table5[[Konto]:[Konto nimetus]],2,FALSE)</f>
        <v>Isikliku sõiduauto kompensatsioon</v>
      </c>
      <c r="F768" s="41" t="s">
        <v>139</v>
      </c>
      <c r="G768" s="41" t="s">
        <v>24</v>
      </c>
      <c r="J768" s="41" t="s">
        <v>409</v>
      </c>
      <c r="K768" s="41" t="s">
        <v>408</v>
      </c>
      <c r="L768" s="58" t="s">
        <v>410</v>
      </c>
      <c r="M768" s="58" t="str">
        <f>LEFT(Table1[[#This Row],[Tegevusala kood]],2)</f>
        <v>04</v>
      </c>
      <c r="N768" s="41" t="str">
        <f>VLOOKUP(Table1[[#This Row],[Tegevusala kood]],Table4[[Tegevusala kood]:[Tegevusala alanimetus]],2,FALSE)</f>
        <v>Muu majandus (sh majanduse haldus)</v>
      </c>
      <c r="O768" s="41" t="s">
        <v>1</v>
      </c>
      <c r="P768" s="41" t="s">
        <v>1</v>
      </c>
      <c r="Q768" s="41" t="str">
        <f>VLOOKUP(Table1[[#This Row],[Eelarvekonto]],Table5[[Konto]:[Kontode alanimetus]],5,FALSE)</f>
        <v>Majandamiskulud</v>
      </c>
      <c r="R768" s="42" t="str">
        <f>VLOOKUP(Table1[[#This Row],[Tegevusala kood]],Table4[[Tegevusala kood]:[Tegevusala alanimetus]],4,FALSE)</f>
        <v>Muu majandus (sh majanduse haldus)</v>
      </c>
      <c r="S768" s="53"/>
      <c r="T768" s="53"/>
      <c r="U768" s="53">
        <f>Table1[[#This Row],[Summa]]+Table1[[#This Row],[I Muudatus]]+Table1[[#This Row],[II Muudatus]]</f>
        <v>1800</v>
      </c>
    </row>
    <row r="769" spans="1:21" ht="14.25" hidden="1" customHeight="1" x14ac:dyDescent="0.25">
      <c r="A769" s="41" t="s">
        <v>696</v>
      </c>
      <c r="B769" s="42">
        <v>4020</v>
      </c>
      <c r="C769" s="52">
        <v>5513081</v>
      </c>
      <c r="D769" s="52" t="str">
        <f>LEFT(Table1[[#This Row],[Eelarvekonto]],2)</f>
        <v>55</v>
      </c>
      <c r="E769" s="41" t="str">
        <f>VLOOKUP(Table1[[#This Row],[Eelarvekonto]],Table5[[Konto]:[Konto nimetus]],2,FALSE)</f>
        <v>Isikliku sõiduauto kompensatsioon</v>
      </c>
      <c r="F769" s="41" t="s">
        <v>139</v>
      </c>
      <c r="G769" s="41" t="s">
        <v>24</v>
      </c>
      <c r="J769" s="41" t="s">
        <v>409</v>
      </c>
      <c r="K769" s="41" t="s">
        <v>408</v>
      </c>
      <c r="L769" s="58" t="s">
        <v>410</v>
      </c>
      <c r="M769" s="58" t="str">
        <f>LEFT(Table1[[#This Row],[Tegevusala kood]],2)</f>
        <v>04</v>
      </c>
      <c r="N769" s="41" t="str">
        <f>VLOOKUP(Table1[[#This Row],[Tegevusala kood]],Table4[[Tegevusala kood]:[Tegevusala alanimetus]],2,FALSE)</f>
        <v>Muu majandus (sh majanduse haldus)</v>
      </c>
      <c r="O769" s="41" t="s">
        <v>1</v>
      </c>
      <c r="P769" s="41" t="s">
        <v>1</v>
      </c>
      <c r="Q769" s="41" t="str">
        <f>VLOOKUP(Table1[[#This Row],[Eelarvekonto]],Table5[[Konto]:[Kontode alanimetus]],5,FALSE)</f>
        <v>Majandamiskulud</v>
      </c>
      <c r="R769" s="42" t="str">
        <f>VLOOKUP(Table1[[#This Row],[Tegevusala kood]],Table4[[Tegevusala kood]:[Tegevusala alanimetus]],4,FALSE)</f>
        <v>Muu majandus (sh majanduse haldus)</v>
      </c>
      <c r="S769" s="53"/>
      <c r="T769" s="53"/>
      <c r="U769" s="53">
        <f>Table1[[#This Row],[Summa]]+Table1[[#This Row],[I Muudatus]]+Table1[[#This Row],[II Muudatus]]</f>
        <v>4020</v>
      </c>
    </row>
    <row r="770" spans="1:21" ht="14.25" hidden="1" customHeight="1" x14ac:dyDescent="0.25">
      <c r="A770" s="41" t="s">
        <v>899</v>
      </c>
      <c r="B770" s="41">
        <v>15000</v>
      </c>
      <c r="C770" s="52">
        <v>4502</v>
      </c>
      <c r="D770" s="52" t="str">
        <f>LEFT(Table1[[#This Row],[Eelarvekonto]],2)</f>
        <v>45</v>
      </c>
      <c r="E770" s="41" t="str">
        <f>VLOOKUP(Table1[[#This Row],[Eelarvekonto]],Table5[[Konto]:[Konto nimetus]],2,FALSE)</f>
        <v>Antud sihtfinantseerimine põhivara soetuseks</v>
      </c>
      <c r="F770" s="41" t="s">
        <v>956</v>
      </c>
      <c r="G770" s="41" t="s">
        <v>891</v>
      </c>
      <c r="J770" s="41" t="s">
        <v>409</v>
      </c>
      <c r="K770" s="41" t="s">
        <v>408</v>
      </c>
      <c r="L770" s="58" t="s">
        <v>410</v>
      </c>
      <c r="M770" s="58" t="str">
        <f>LEFT(Table1[[#This Row],[Tegevusala kood]],2)</f>
        <v>04</v>
      </c>
      <c r="N770" s="41" t="str">
        <f>VLOOKUP(Table1[[#This Row],[Tegevusala kood]],Table4[[Tegevusala kood]:[Tegevusala alanimetus]],2,FALSE)</f>
        <v>Muu majandus (sh majanduse haldus)</v>
      </c>
      <c r="O770" s="41" t="s">
        <v>1</v>
      </c>
      <c r="P770" s="41" t="s">
        <v>1</v>
      </c>
      <c r="Q770" s="41" t="str">
        <f>VLOOKUP(Table1[[#This Row],[Eelarvekonto]],Table5[[Konto]:[Kontode alanimetus]],5,FALSE)</f>
        <v>Põhivara soetuseks antav sihtfinantseerimine (-)</v>
      </c>
      <c r="R770" s="42" t="str">
        <f>VLOOKUP(Table1[[#This Row],[Tegevusala kood]],Table4[[Tegevusala kood]:[Tegevusala alanimetus]],4,FALSE)</f>
        <v>Muu majandus (sh majanduse haldus)</v>
      </c>
      <c r="S770" s="53"/>
      <c r="T770" s="53"/>
      <c r="U770" s="53">
        <f>Table1[[#This Row],[Summa]]+Table1[[#This Row],[I Muudatus]]+Table1[[#This Row],[II Muudatus]]</f>
        <v>15000</v>
      </c>
    </row>
    <row r="771" spans="1:21" ht="14.25" hidden="1" customHeight="1" x14ac:dyDescent="0.25">
      <c r="A771" s="41" t="s">
        <v>901</v>
      </c>
      <c r="B771" s="41">
        <v>125000</v>
      </c>
      <c r="C771" s="52">
        <v>4502</v>
      </c>
      <c r="D771" s="52" t="str">
        <f>LEFT(Table1[[#This Row],[Eelarvekonto]],2)</f>
        <v>45</v>
      </c>
      <c r="E771" s="41" t="str">
        <f>VLOOKUP(Table1[[#This Row],[Eelarvekonto]],Table5[[Konto]:[Konto nimetus]],2,FALSE)</f>
        <v>Antud sihtfinantseerimine põhivara soetuseks</v>
      </c>
      <c r="F771" s="41" t="s">
        <v>956</v>
      </c>
      <c r="G771" s="41" t="s">
        <v>891</v>
      </c>
      <c r="J771" s="41" t="s">
        <v>409</v>
      </c>
      <c r="K771" s="41" t="s">
        <v>408</v>
      </c>
      <c r="L771" s="58" t="s">
        <v>410</v>
      </c>
      <c r="M771" s="58" t="str">
        <f>LEFT(Table1[[#This Row],[Tegevusala kood]],2)</f>
        <v>04</v>
      </c>
      <c r="N771" s="41" t="str">
        <f>VLOOKUP(Table1[[#This Row],[Tegevusala kood]],Table4[[Tegevusala kood]:[Tegevusala alanimetus]],2,FALSE)</f>
        <v>Muu majandus (sh majanduse haldus)</v>
      </c>
      <c r="O771" s="41" t="s">
        <v>1</v>
      </c>
      <c r="P771" s="41" t="s">
        <v>1</v>
      </c>
      <c r="Q771" s="41" t="str">
        <f>VLOOKUP(Table1[[#This Row],[Eelarvekonto]],Table5[[Konto]:[Kontode alanimetus]],5,FALSE)</f>
        <v>Põhivara soetuseks antav sihtfinantseerimine (-)</v>
      </c>
      <c r="R771" s="42" t="str">
        <f>VLOOKUP(Table1[[#This Row],[Tegevusala kood]],Table4[[Tegevusala kood]:[Tegevusala alanimetus]],4,FALSE)</f>
        <v>Muu majandus (sh majanduse haldus)</v>
      </c>
      <c r="S771" s="53"/>
      <c r="T771" s="53"/>
      <c r="U771" s="53">
        <f>Table1[[#This Row],[Summa]]+Table1[[#This Row],[I Muudatus]]+Table1[[#This Row],[II Muudatus]]</f>
        <v>125000</v>
      </c>
    </row>
    <row r="772" spans="1:21" ht="14.25" hidden="1" customHeight="1" x14ac:dyDescent="0.25">
      <c r="A772" s="41" t="s">
        <v>403</v>
      </c>
      <c r="B772" s="41">
        <v>2400</v>
      </c>
      <c r="C772" s="52">
        <v>4500</v>
      </c>
      <c r="D772" s="52" t="str">
        <f>LEFT(Table1[[#This Row],[Eelarvekonto]],2)</f>
        <v>45</v>
      </c>
      <c r="E772" s="41" t="str">
        <f>VLOOKUP(Table1[[#This Row],[Eelarvekonto]],Table5[[Konto]:[Konto nimetus]],2,FALSE)</f>
        <v>Antud sihtfinantseerimine tegevuskuludeks</v>
      </c>
      <c r="F772" s="41" t="s">
        <v>139</v>
      </c>
      <c r="G772" s="41" t="s">
        <v>24</v>
      </c>
      <c r="J772" s="41" t="s">
        <v>365</v>
      </c>
      <c r="K772" s="41" t="s">
        <v>364</v>
      </c>
      <c r="L772" s="58" t="s">
        <v>402</v>
      </c>
      <c r="M772" s="58" t="str">
        <f>LEFT(Table1[[#This Row],[Tegevusala kood]],2)</f>
        <v>07</v>
      </c>
      <c r="N772" s="41" t="str">
        <f>VLOOKUP(Table1[[#This Row],[Tegevusala kood]],Table4[[Tegevusala kood]:[Tegevusala alanimetus]],2,FALSE)</f>
        <v>Muu tervishoid, sh tervishoiu haldamine</v>
      </c>
      <c r="O772" s="41" t="s">
        <v>1</v>
      </c>
      <c r="P772" s="41" t="s">
        <v>1</v>
      </c>
      <c r="Q772" s="41" t="str">
        <f>VLOOKUP(Table1[[#This Row],[Eelarvekonto]],Table5[[Konto]:[Kontode alanimetus]],5,FALSE)</f>
        <v>Sihtotstarbelised toetused tegevuskuludeks</v>
      </c>
      <c r="R772" s="42" t="str">
        <f>VLOOKUP(Table1[[#This Row],[Tegevusala kood]],Table4[[Tegevusala kood]:[Tegevusala alanimetus]],4,FALSE)</f>
        <v>Muu tervishoid, sh tervishoiu haldamine</v>
      </c>
      <c r="S772" s="53"/>
      <c r="T772" s="53"/>
      <c r="U772" s="53">
        <f>Table1[[#This Row],[Summa]]+Table1[[#This Row],[I Muudatus]]+Table1[[#This Row],[II Muudatus]]</f>
        <v>2400</v>
      </c>
    </row>
    <row r="773" spans="1:21" ht="14.25" hidden="1" customHeight="1" x14ac:dyDescent="0.25">
      <c r="A773" s="41" t="s">
        <v>1152</v>
      </c>
      <c r="B773" s="41">
        <v>2000</v>
      </c>
      <c r="C773" s="52">
        <v>5540</v>
      </c>
      <c r="D773" s="52" t="str">
        <f>LEFT(Table1[[#This Row],[Eelarvekonto]],2)</f>
        <v>55</v>
      </c>
      <c r="E773" s="41" t="str">
        <f>VLOOKUP(Table1[[#This Row],[Eelarvekonto]],Table5[[Konto]:[Konto nimetus]],2,FALSE)</f>
        <v>Mitmesugused majanduskulud</v>
      </c>
      <c r="F773" s="41" t="s">
        <v>139</v>
      </c>
      <c r="G773" s="41" t="s">
        <v>24</v>
      </c>
      <c r="J773" s="41" t="s">
        <v>365</v>
      </c>
      <c r="K773" s="41" t="s">
        <v>364</v>
      </c>
      <c r="L773" s="58" t="s">
        <v>402</v>
      </c>
      <c r="M773" s="58" t="str">
        <f>LEFT(Table1[[#This Row],[Tegevusala kood]],2)</f>
        <v>07</v>
      </c>
      <c r="N773" s="41" t="str">
        <f>VLOOKUP(Table1[[#This Row],[Tegevusala kood]],Table4[[Tegevusala kood]:[Tegevusala alanimetus]],2,FALSE)</f>
        <v>Muu tervishoid, sh tervishoiu haldamine</v>
      </c>
      <c r="O773" s="41" t="s">
        <v>1</v>
      </c>
      <c r="P773" s="41" t="s">
        <v>1</v>
      </c>
      <c r="Q773" s="41" t="str">
        <f>VLOOKUP(Table1[[#This Row],[Eelarvekonto]],Table5[[Konto]:[Kontode alanimetus]],5,FALSE)</f>
        <v>Majandamiskulud</v>
      </c>
      <c r="R773" s="42" t="str">
        <f>VLOOKUP(Table1[[#This Row],[Tegevusala kood]],Table4[[Tegevusala kood]:[Tegevusala alanimetus]],4,FALSE)</f>
        <v>Muu tervishoid, sh tervishoiu haldamine</v>
      </c>
      <c r="S773" s="53"/>
      <c r="T773" s="53"/>
      <c r="U773" s="53">
        <f>Table1[[#This Row],[Summa]]+Table1[[#This Row],[I Muudatus]]+Table1[[#This Row],[II Muudatus]]</f>
        <v>2000</v>
      </c>
    </row>
    <row r="774" spans="1:21" ht="14.25" hidden="1" customHeight="1" x14ac:dyDescent="0.25">
      <c r="A774" s="41" t="s">
        <v>672</v>
      </c>
      <c r="B774" s="41">
        <v>2500</v>
      </c>
      <c r="C774" s="52">
        <v>4528</v>
      </c>
      <c r="D774" s="52" t="str">
        <f>LEFT(Table1[[#This Row],[Eelarvekonto]],2)</f>
        <v>45</v>
      </c>
      <c r="E774" s="41" t="str">
        <f>VLOOKUP(Table1[[#This Row],[Eelarvekonto]],Table5[[Konto]:[Konto nimetus]],2,FALSE)</f>
        <v>Liikmemaksud</v>
      </c>
      <c r="F774" s="41" t="s">
        <v>139</v>
      </c>
      <c r="G774" s="41" t="s">
        <v>24</v>
      </c>
      <c r="J774" s="41" t="s">
        <v>365</v>
      </c>
      <c r="K774" s="41" t="s">
        <v>364</v>
      </c>
      <c r="L774" s="58" t="s">
        <v>402</v>
      </c>
      <c r="M774" s="58" t="str">
        <f>LEFT(Table1[[#This Row],[Tegevusala kood]],2)</f>
        <v>07</v>
      </c>
      <c r="N774" s="41" t="str">
        <f>VLOOKUP(Table1[[#This Row],[Tegevusala kood]],Table4[[Tegevusala kood]:[Tegevusala alanimetus]],2,FALSE)</f>
        <v>Muu tervishoid, sh tervishoiu haldamine</v>
      </c>
      <c r="O774" s="41" t="s">
        <v>1</v>
      </c>
      <c r="P774" s="41" t="s">
        <v>1</v>
      </c>
      <c r="Q774" s="41" t="str">
        <f>VLOOKUP(Table1[[#This Row],[Eelarvekonto]],Table5[[Konto]:[Kontode alanimetus]],5,FALSE)</f>
        <v>Mittesihtotstarbelised toetused</v>
      </c>
      <c r="R774" s="42" t="str">
        <f>VLOOKUP(Table1[[#This Row],[Tegevusala kood]],Table4[[Tegevusala kood]:[Tegevusala alanimetus]],4,FALSE)</f>
        <v>Muu tervishoid, sh tervishoiu haldamine</v>
      </c>
      <c r="S774" s="53"/>
      <c r="T774" s="53"/>
      <c r="U774" s="53">
        <f>Table1[[#This Row],[Summa]]+Table1[[#This Row],[I Muudatus]]+Table1[[#This Row],[II Muudatus]]</f>
        <v>2500</v>
      </c>
    </row>
    <row r="775" spans="1:21" ht="14.25" hidden="1" customHeight="1" x14ac:dyDescent="0.25">
      <c r="A775" s="41" t="s">
        <v>903</v>
      </c>
      <c r="B775" s="42">
        <v>29729</v>
      </c>
      <c r="C775" s="52">
        <v>450200</v>
      </c>
      <c r="D775" s="52" t="str">
        <f>LEFT(Table1[[#This Row],[Eelarvekonto]],2)</f>
        <v>45</v>
      </c>
      <c r="E775" s="41" t="str">
        <f>VLOOKUP(Table1[[#This Row],[Eelarvekonto]],Table5[[Konto]:[Konto nimetus]],2,FALSE)</f>
        <v>Kodumaine sihtfinantseerimine põhivara soetuseks</v>
      </c>
      <c r="F775" s="41" t="s">
        <v>956</v>
      </c>
      <c r="G775" s="41" t="s">
        <v>891</v>
      </c>
      <c r="J775" s="41" t="s">
        <v>365</v>
      </c>
      <c r="K775" s="41" t="s">
        <v>364</v>
      </c>
      <c r="L775" s="58" t="s">
        <v>402</v>
      </c>
      <c r="M775" s="58" t="str">
        <f>LEFT(Table1[[#This Row],[Tegevusala kood]],2)</f>
        <v>07</v>
      </c>
      <c r="N775" s="41" t="str">
        <f>VLOOKUP(Table1[[#This Row],[Tegevusala kood]],Table4[[Tegevusala kood]:[Tegevusala alanimetus]],2,FALSE)</f>
        <v>Muu tervishoid, sh tervishoiu haldamine</v>
      </c>
      <c r="O775" s="41" t="s">
        <v>1</v>
      </c>
      <c r="P775" s="41" t="s">
        <v>1</v>
      </c>
      <c r="Q775" s="41" t="str">
        <f>VLOOKUP(Table1[[#This Row],[Eelarvekonto]],Table5[[Konto]:[Kontode alanimetus]],5,FALSE)</f>
        <v>Põhivara soetuseks antav sihtfinantseerimine (-)</v>
      </c>
      <c r="R775" s="42" t="str">
        <f>VLOOKUP(Table1[[#This Row],[Tegevusala kood]],Table4[[Tegevusala kood]:[Tegevusala alanimetus]],4,FALSE)</f>
        <v>Muu tervishoid, sh tervishoiu haldamine</v>
      </c>
      <c r="S775" s="53"/>
      <c r="T775" s="53"/>
      <c r="U775" s="53">
        <f>Table1[[#This Row],[Summa]]+Table1[[#This Row],[I Muudatus]]+Table1[[#This Row],[II Muudatus]]</f>
        <v>29729</v>
      </c>
    </row>
    <row r="776" spans="1:21" ht="14.25" hidden="1" customHeight="1" x14ac:dyDescent="0.25">
      <c r="A776" s="41" t="s">
        <v>197</v>
      </c>
      <c r="B776" s="41">
        <v>550</v>
      </c>
      <c r="C776" s="52">
        <v>5513081</v>
      </c>
      <c r="D776" s="52" t="str">
        <f>LEFT(Table1[[#This Row],[Eelarvekonto]],2)</f>
        <v>55</v>
      </c>
      <c r="E776" s="41" t="str">
        <f>VLOOKUP(Table1[[#This Row],[Eelarvekonto]],Table5[[Konto]:[Konto nimetus]],2,FALSE)</f>
        <v>Isikliku sõiduauto kompensatsioon</v>
      </c>
      <c r="F776" s="41" t="s">
        <v>139</v>
      </c>
      <c r="G776" s="41" t="s">
        <v>24</v>
      </c>
      <c r="J776" s="41" t="s">
        <v>442</v>
      </c>
      <c r="K776" s="41" t="s">
        <v>441</v>
      </c>
      <c r="L776" s="58" t="s">
        <v>738</v>
      </c>
      <c r="M776" s="58" t="str">
        <f>LEFT(Table1[[#This Row],[Tegevusala kood]],2)</f>
        <v>08</v>
      </c>
      <c r="N776" s="41" t="str">
        <f>VLOOKUP(Table1[[#This Row],[Tegevusala kood]],Table4[[Tegevusala kood]:[Tegevusala alanimetus]],2,FALSE)</f>
        <v>Muu vaba aeg, kultuur, religioon, sh haldus</v>
      </c>
      <c r="O776" s="41" t="s">
        <v>1</v>
      </c>
      <c r="P776" s="41" t="s">
        <v>1</v>
      </c>
      <c r="Q776" s="41" t="str">
        <f>VLOOKUP(Table1[[#This Row],[Eelarvekonto]],Table5[[Konto]:[Kontode alanimetus]],5,FALSE)</f>
        <v>Majandamiskulud</v>
      </c>
      <c r="R776" s="42" t="str">
        <f>VLOOKUP(Table1[[#This Row],[Tegevusala kood]],Table4[[Tegevusala kood]:[Tegevusala alanimetus]],4,FALSE)</f>
        <v>Muu vaba aeg, kultuur, religioon, sh haldus</v>
      </c>
      <c r="S776" s="53"/>
      <c r="T776" s="53"/>
      <c r="U776" s="53">
        <f>Table1[[#This Row],[Summa]]+Table1[[#This Row],[I Muudatus]]+Table1[[#This Row],[II Muudatus]]</f>
        <v>550</v>
      </c>
    </row>
    <row r="777" spans="1:21" ht="14.25" hidden="1" customHeight="1" x14ac:dyDescent="0.25">
      <c r="A777" s="41" t="s">
        <v>158</v>
      </c>
      <c r="B777" s="41">
        <v>7098</v>
      </c>
      <c r="C777" s="52">
        <v>506</v>
      </c>
      <c r="D777" s="52" t="str">
        <f>LEFT(Table1[[#This Row],[Eelarvekonto]],2)</f>
        <v>50</v>
      </c>
      <c r="E777" s="41" t="str">
        <f>VLOOKUP(Table1[[#This Row],[Eelarvekonto]],Table5[[Konto]:[Konto nimetus]],2,FALSE)</f>
        <v>Tööjõukuludega kaasnevad maksud ja sotsiaalkindlustusmaksed</v>
      </c>
      <c r="F777" s="41" t="s">
        <v>139</v>
      </c>
      <c r="G777" s="41" t="s">
        <v>24</v>
      </c>
      <c r="J777" s="41" t="s">
        <v>442</v>
      </c>
      <c r="K777" s="41" t="s">
        <v>441</v>
      </c>
      <c r="L777" s="58" t="s">
        <v>738</v>
      </c>
      <c r="M777" s="58" t="str">
        <f>LEFT(Table1[[#This Row],[Tegevusala kood]],2)</f>
        <v>08</v>
      </c>
      <c r="N777" s="41" t="str">
        <f>VLOOKUP(Table1[[#This Row],[Tegevusala kood]],Table4[[Tegevusala kood]:[Tegevusala alanimetus]],2,FALSE)</f>
        <v>Muu vaba aeg, kultuur, religioon, sh haldus</v>
      </c>
      <c r="O777" s="41" t="s">
        <v>1</v>
      </c>
      <c r="P777" s="41" t="s">
        <v>1</v>
      </c>
      <c r="Q777" s="41" t="str">
        <f>VLOOKUP(Table1[[#This Row],[Eelarvekonto]],Table5[[Konto]:[Kontode alanimetus]],5,FALSE)</f>
        <v>Tööjõukulud</v>
      </c>
      <c r="R777" s="42" t="str">
        <f>VLOOKUP(Table1[[#This Row],[Tegevusala kood]],Table4[[Tegevusala kood]:[Tegevusala alanimetus]],4,FALSE)</f>
        <v>Muu vaba aeg, kultuur, religioon, sh haldus</v>
      </c>
      <c r="S777" s="53"/>
      <c r="T777" s="53"/>
      <c r="U777" s="53">
        <f>Table1[[#This Row],[Summa]]+Table1[[#This Row],[I Muudatus]]+Table1[[#This Row],[II Muudatus]]</f>
        <v>7098</v>
      </c>
    </row>
    <row r="778" spans="1:21" ht="14.25" hidden="1" customHeight="1" x14ac:dyDescent="0.25">
      <c r="A778" s="41" t="s">
        <v>739</v>
      </c>
      <c r="B778" s="41">
        <v>21000</v>
      </c>
      <c r="C778" s="52">
        <v>5001</v>
      </c>
      <c r="D778" s="52" t="str">
        <f>LEFT(Table1[[#This Row],[Eelarvekonto]],2)</f>
        <v>50</v>
      </c>
      <c r="E778" s="41" t="str">
        <f>VLOOKUP(Table1[[#This Row],[Eelarvekonto]],Table5[[Konto]:[Konto nimetus]],2,FALSE)</f>
        <v xml:space="preserve"> Avaliku teenistuse ametnike töötasu</v>
      </c>
      <c r="F778" s="41" t="s">
        <v>139</v>
      </c>
      <c r="G778" s="41" t="s">
        <v>24</v>
      </c>
      <c r="J778" s="41" t="s">
        <v>442</v>
      </c>
      <c r="K778" s="41" t="s">
        <v>441</v>
      </c>
      <c r="L778" s="58" t="s">
        <v>738</v>
      </c>
      <c r="M778" s="58" t="str">
        <f>LEFT(Table1[[#This Row],[Tegevusala kood]],2)</f>
        <v>08</v>
      </c>
      <c r="N778" s="41" t="str">
        <f>VLOOKUP(Table1[[#This Row],[Tegevusala kood]],Table4[[Tegevusala kood]:[Tegevusala alanimetus]],2,FALSE)</f>
        <v>Muu vaba aeg, kultuur, religioon, sh haldus</v>
      </c>
      <c r="O778" s="41" t="s">
        <v>1</v>
      </c>
      <c r="P778" s="41" t="s">
        <v>1</v>
      </c>
      <c r="Q778" s="41" t="str">
        <f>VLOOKUP(Table1[[#This Row],[Eelarvekonto]],Table5[[Konto]:[Kontode alanimetus]],5,FALSE)</f>
        <v>Tööjõukulud</v>
      </c>
      <c r="R778" s="42" t="str">
        <f>VLOOKUP(Table1[[#This Row],[Tegevusala kood]],Table4[[Tegevusala kood]:[Tegevusala alanimetus]],4,FALSE)</f>
        <v>Muu vaba aeg, kultuur, religioon, sh haldus</v>
      </c>
      <c r="S778" s="53"/>
      <c r="T778" s="53"/>
      <c r="U778" s="53">
        <f>Table1[[#This Row],[Summa]]+Table1[[#This Row],[I Muudatus]]+Table1[[#This Row],[II Muudatus]]</f>
        <v>21000</v>
      </c>
    </row>
    <row r="779" spans="1:21" ht="14.25" hidden="1" customHeight="1" x14ac:dyDescent="0.25">
      <c r="A779" s="41" t="s">
        <v>1153</v>
      </c>
      <c r="B779" s="41">
        <v>46632</v>
      </c>
      <c r="C779" s="52">
        <v>5526</v>
      </c>
      <c r="D779" s="52" t="str">
        <f>LEFT(Table1[[#This Row],[Eelarvekonto]],2)</f>
        <v>55</v>
      </c>
      <c r="E779" s="41" t="str">
        <f>VLOOKUP(Table1[[#This Row],[Eelarvekonto]],Table5[[Konto]:[Konto nimetus]],2,FALSE)</f>
        <v>Sotsiaalteenused</v>
      </c>
      <c r="F779" s="41" t="s">
        <v>139</v>
      </c>
      <c r="G779" s="41" t="s">
        <v>24</v>
      </c>
      <c r="J779" s="41" t="s">
        <v>365</v>
      </c>
      <c r="K779" s="41" t="s">
        <v>364</v>
      </c>
      <c r="L779" s="58" t="s">
        <v>386</v>
      </c>
      <c r="M779" s="58" t="str">
        <f>LEFT(Table1[[#This Row],[Tegevusala kood]],2)</f>
        <v>10</v>
      </c>
      <c r="N779" s="41" t="str">
        <f>VLOOKUP(Table1[[#This Row],[Tegevusala kood]],Table4[[Tegevusala kood]:[Tegevusala alanimetus]],2,FALSE)</f>
        <v>Muud asutused</v>
      </c>
      <c r="O779" s="41" t="s">
        <v>1</v>
      </c>
      <c r="P779" s="41" t="s">
        <v>1</v>
      </c>
      <c r="Q779" s="41" t="str">
        <f>VLOOKUP(Table1[[#This Row],[Eelarvekonto]],Table5[[Konto]:[Kontode alanimetus]],5,FALSE)</f>
        <v>Majandamiskulud</v>
      </c>
      <c r="R779" s="42" t="str">
        <f>VLOOKUP(Table1[[#This Row],[Tegevusala kood]],Table4[[Tegevusala kood]:[Tegevusala alanimetus]],4,FALSE)</f>
        <v>Laste ja noorte sotsiaalhoolekande asutused</v>
      </c>
      <c r="S779" s="53"/>
      <c r="T779" s="53"/>
      <c r="U779" s="53">
        <f>Table1[[#This Row],[Summa]]+Table1[[#This Row],[I Muudatus]]+Table1[[#This Row],[II Muudatus]]</f>
        <v>46632</v>
      </c>
    </row>
    <row r="780" spans="1:21" ht="14.25" hidden="1" customHeight="1" x14ac:dyDescent="0.25">
      <c r="A780" s="41" t="s">
        <v>1154</v>
      </c>
      <c r="B780" s="41">
        <v>24060</v>
      </c>
      <c r="C780" s="52">
        <v>5526</v>
      </c>
      <c r="D780" s="52" t="str">
        <f>LEFT(Table1[[#This Row],[Eelarvekonto]],2)</f>
        <v>55</v>
      </c>
      <c r="E780" s="41" t="str">
        <f>VLOOKUP(Table1[[#This Row],[Eelarvekonto]],Table5[[Konto]:[Konto nimetus]],2,FALSE)</f>
        <v>Sotsiaalteenused</v>
      </c>
      <c r="F780" s="41" t="s">
        <v>139</v>
      </c>
      <c r="G780" s="41" t="s">
        <v>24</v>
      </c>
      <c r="J780" s="41" t="s">
        <v>365</v>
      </c>
      <c r="K780" s="41" t="s">
        <v>364</v>
      </c>
      <c r="L780" s="58" t="s">
        <v>386</v>
      </c>
      <c r="M780" s="58" t="str">
        <f>LEFT(Table1[[#This Row],[Tegevusala kood]],2)</f>
        <v>10</v>
      </c>
      <c r="N780" s="41" t="str">
        <f>VLOOKUP(Table1[[#This Row],[Tegevusala kood]],Table4[[Tegevusala kood]:[Tegevusala alanimetus]],2,FALSE)</f>
        <v>Muud asutused</v>
      </c>
      <c r="O780" s="41" t="s">
        <v>1</v>
      </c>
      <c r="P780" s="41" t="s">
        <v>1</v>
      </c>
      <c r="Q780" s="41" t="str">
        <f>VLOOKUP(Table1[[#This Row],[Eelarvekonto]],Table5[[Konto]:[Kontode alanimetus]],5,FALSE)</f>
        <v>Majandamiskulud</v>
      </c>
      <c r="R780" s="42" t="str">
        <f>VLOOKUP(Table1[[#This Row],[Tegevusala kood]],Table4[[Tegevusala kood]:[Tegevusala alanimetus]],4,FALSE)</f>
        <v>Laste ja noorte sotsiaalhoolekande asutused</v>
      </c>
      <c r="S780" s="53"/>
      <c r="T780" s="53"/>
      <c r="U780" s="53">
        <f>Table1[[#This Row],[Summa]]+Table1[[#This Row],[I Muudatus]]+Table1[[#This Row],[II Muudatus]]</f>
        <v>24060</v>
      </c>
    </row>
    <row r="781" spans="1:21" ht="14.25" hidden="1" customHeight="1" x14ac:dyDescent="0.25">
      <c r="A781" s="41" t="s">
        <v>1155</v>
      </c>
      <c r="B781" s="41">
        <v>21600</v>
      </c>
      <c r="C781" s="52">
        <v>5526</v>
      </c>
      <c r="D781" s="52" t="str">
        <f>LEFT(Table1[[#This Row],[Eelarvekonto]],2)</f>
        <v>55</v>
      </c>
      <c r="E781" s="41" t="str">
        <f>VLOOKUP(Table1[[#This Row],[Eelarvekonto]],Table5[[Konto]:[Konto nimetus]],2,FALSE)</f>
        <v>Sotsiaalteenused</v>
      </c>
      <c r="F781" s="41" t="s">
        <v>139</v>
      </c>
      <c r="G781" s="41" t="s">
        <v>24</v>
      </c>
      <c r="J781" s="41" t="s">
        <v>365</v>
      </c>
      <c r="K781" s="41" t="s">
        <v>364</v>
      </c>
      <c r="L781" s="58" t="s">
        <v>386</v>
      </c>
      <c r="M781" s="58" t="str">
        <f>LEFT(Table1[[#This Row],[Tegevusala kood]],2)</f>
        <v>10</v>
      </c>
      <c r="N781" s="41" t="str">
        <f>VLOOKUP(Table1[[#This Row],[Tegevusala kood]],Table4[[Tegevusala kood]:[Tegevusala alanimetus]],2,FALSE)</f>
        <v>Muud asutused</v>
      </c>
      <c r="O781" s="41" t="s">
        <v>1</v>
      </c>
      <c r="P781" s="41" t="s">
        <v>1</v>
      </c>
      <c r="Q781" s="41" t="str">
        <f>VLOOKUP(Table1[[#This Row],[Eelarvekonto]],Table5[[Konto]:[Kontode alanimetus]],5,FALSE)</f>
        <v>Majandamiskulud</v>
      </c>
      <c r="R781" s="42" t="str">
        <f>VLOOKUP(Table1[[#This Row],[Tegevusala kood]],Table4[[Tegevusala kood]:[Tegevusala alanimetus]],4,FALSE)</f>
        <v>Laste ja noorte sotsiaalhoolekande asutused</v>
      </c>
      <c r="S781" s="53"/>
      <c r="T781" s="53"/>
      <c r="U781" s="53">
        <f>Table1[[#This Row],[Summa]]+Table1[[#This Row],[I Muudatus]]+Table1[[#This Row],[II Muudatus]]</f>
        <v>21600</v>
      </c>
    </row>
    <row r="782" spans="1:21" ht="14.25" hidden="1" customHeight="1" x14ac:dyDescent="0.25">
      <c r="A782" s="41" t="s">
        <v>1156</v>
      </c>
      <c r="B782" s="41">
        <v>49248</v>
      </c>
      <c r="C782" s="52">
        <v>5526</v>
      </c>
      <c r="D782" s="52" t="str">
        <f>LEFT(Table1[[#This Row],[Eelarvekonto]],2)</f>
        <v>55</v>
      </c>
      <c r="E782" s="41" t="str">
        <f>VLOOKUP(Table1[[#This Row],[Eelarvekonto]],Table5[[Konto]:[Konto nimetus]],2,FALSE)</f>
        <v>Sotsiaalteenused</v>
      </c>
      <c r="F782" s="41" t="s">
        <v>139</v>
      </c>
      <c r="G782" s="41" t="s">
        <v>24</v>
      </c>
      <c r="J782" s="41" t="s">
        <v>365</v>
      </c>
      <c r="K782" s="41" t="s">
        <v>364</v>
      </c>
      <c r="L782" s="58" t="s">
        <v>386</v>
      </c>
      <c r="M782" s="58" t="str">
        <f>LEFT(Table1[[#This Row],[Tegevusala kood]],2)</f>
        <v>10</v>
      </c>
      <c r="N782" s="41" t="str">
        <f>VLOOKUP(Table1[[#This Row],[Tegevusala kood]],Table4[[Tegevusala kood]:[Tegevusala alanimetus]],2,FALSE)</f>
        <v>Muud asutused</v>
      </c>
      <c r="O782" s="41" t="s">
        <v>1</v>
      </c>
      <c r="P782" s="41" t="s">
        <v>1</v>
      </c>
      <c r="Q782" s="41" t="str">
        <f>VLOOKUP(Table1[[#This Row],[Eelarvekonto]],Table5[[Konto]:[Kontode alanimetus]],5,FALSE)</f>
        <v>Majandamiskulud</v>
      </c>
      <c r="R782" s="42" t="str">
        <f>VLOOKUP(Table1[[#This Row],[Tegevusala kood]],Table4[[Tegevusala kood]:[Tegevusala alanimetus]],4,FALSE)</f>
        <v>Laste ja noorte sotsiaalhoolekande asutused</v>
      </c>
      <c r="S782" s="53"/>
      <c r="T782" s="53"/>
      <c r="U782" s="53">
        <f>Table1[[#This Row],[Summa]]+Table1[[#This Row],[I Muudatus]]+Table1[[#This Row],[II Muudatus]]</f>
        <v>49248</v>
      </c>
    </row>
    <row r="783" spans="1:21" ht="14.25" hidden="1" customHeight="1" x14ac:dyDescent="0.25">
      <c r="A783" s="41" t="s">
        <v>1157</v>
      </c>
      <c r="B783" s="41">
        <v>12000</v>
      </c>
      <c r="C783" s="52">
        <v>4130</v>
      </c>
      <c r="D783" s="52" t="str">
        <f>LEFT(Table1[[#This Row],[Eelarvekonto]],2)</f>
        <v>41</v>
      </c>
      <c r="E783" s="41" t="str">
        <f>VLOOKUP(Table1[[#This Row],[Eelarvekonto]],Table5[[Konto]:[Konto nimetus]],2,FALSE)</f>
        <v>Peretoetused</v>
      </c>
      <c r="F783" s="41" t="s">
        <v>139</v>
      </c>
      <c r="G783" s="41" t="s">
        <v>24</v>
      </c>
      <c r="J783" s="41" t="s">
        <v>365</v>
      </c>
      <c r="K783" s="41" t="s">
        <v>364</v>
      </c>
      <c r="L783" s="58" t="s">
        <v>386</v>
      </c>
      <c r="M783" s="58" t="str">
        <f>LEFT(Table1[[#This Row],[Tegevusala kood]],2)</f>
        <v>10</v>
      </c>
      <c r="N783" s="41" t="str">
        <f>VLOOKUP(Table1[[#This Row],[Tegevusala kood]],Table4[[Tegevusala kood]:[Tegevusala alanimetus]],2,FALSE)</f>
        <v>Muud asutused</v>
      </c>
      <c r="O783" s="41" t="s">
        <v>1</v>
      </c>
      <c r="P783" s="41" t="s">
        <v>1</v>
      </c>
      <c r="Q783" s="41" t="str">
        <f>VLOOKUP(Table1[[#This Row],[Eelarvekonto]],Table5[[Konto]:[Kontode alanimetus]],5,FALSE)</f>
        <v>Sotsiaalabitoetused ja muud toetused füüsilistele isikutele</v>
      </c>
      <c r="R783" s="42" t="str">
        <f>VLOOKUP(Table1[[#This Row],[Tegevusala kood]],Table4[[Tegevusala kood]:[Tegevusala alanimetus]],4,FALSE)</f>
        <v>Laste ja noorte sotsiaalhoolekande asutused</v>
      </c>
      <c r="S783" s="53"/>
      <c r="T783" s="53"/>
      <c r="U783" s="53">
        <f>Table1[[#This Row],[Summa]]+Table1[[#This Row],[I Muudatus]]+Table1[[#This Row],[II Muudatus]]</f>
        <v>12000</v>
      </c>
    </row>
    <row r="784" spans="1:21" ht="14.25" hidden="1" customHeight="1" x14ac:dyDescent="0.25">
      <c r="A784" s="41" t="s">
        <v>158</v>
      </c>
      <c r="B784" s="41">
        <v>3569.28</v>
      </c>
      <c r="C784" s="52">
        <v>506</v>
      </c>
      <c r="D784" s="52" t="str">
        <f>LEFT(Table1[[#This Row],[Eelarvekonto]],2)</f>
        <v>50</v>
      </c>
      <c r="E784" s="41" t="str">
        <f>VLOOKUP(Table1[[#This Row],[Eelarvekonto]],Table5[[Konto]:[Konto nimetus]],2,FALSE)</f>
        <v>Tööjõukuludega kaasnevad maksud ja sotsiaalkindlustusmaksed</v>
      </c>
      <c r="F784" s="41" t="s">
        <v>139</v>
      </c>
      <c r="G784" s="41" t="s">
        <v>24</v>
      </c>
      <c r="J784" s="41" t="s">
        <v>365</v>
      </c>
      <c r="K784" s="41" t="s">
        <v>364</v>
      </c>
      <c r="L784" s="58" t="s">
        <v>386</v>
      </c>
      <c r="M784" s="58" t="str">
        <f>LEFT(Table1[[#This Row],[Tegevusala kood]],2)</f>
        <v>10</v>
      </c>
      <c r="N784" s="41" t="str">
        <f>VLOOKUP(Table1[[#This Row],[Tegevusala kood]],Table4[[Tegevusala kood]:[Tegevusala alanimetus]],2,FALSE)</f>
        <v>Muud asutused</v>
      </c>
      <c r="O784" s="41" t="s">
        <v>1</v>
      </c>
      <c r="P784" s="41" t="s">
        <v>1</v>
      </c>
      <c r="Q784" s="41" t="str">
        <f>VLOOKUP(Table1[[#This Row],[Eelarvekonto]],Table5[[Konto]:[Kontode alanimetus]],5,FALSE)</f>
        <v>Tööjõukulud</v>
      </c>
      <c r="R784" s="42" t="str">
        <f>VLOOKUP(Table1[[#This Row],[Tegevusala kood]],Table4[[Tegevusala kood]:[Tegevusala alanimetus]],4,FALSE)</f>
        <v>Laste ja noorte sotsiaalhoolekande asutused</v>
      </c>
      <c r="S784" s="53"/>
      <c r="T784" s="53"/>
      <c r="U784" s="53">
        <f>Table1[[#This Row],[Summa]]+Table1[[#This Row],[I Muudatus]]+Table1[[#This Row],[II Muudatus]]</f>
        <v>3569.28</v>
      </c>
    </row>
    <row r="785" spans="1:21" ht="14.25" hidden="1" customHeight="1" x14ac:dyDescent="0.25">
      <c r="A785" s="41" t="s">
        <v>646</v>
      </c>
      <c r="B785" s="41">
        <v>6600</v>
      </c>
      <c r="C785" s="52">
        <v>5005</v>
      </c>
      <c r="D785" s="52" t="str">
        <f>LEFT(Table1[[#This Row],[Eelarvekonto]],2)</f>
        <v>50</v>
      </c>
      <c r="E785" s="41" t="str">
        <f>VLOOKUP(Table1[[#This Row],[Eelarvekonto]],Table5[[Konto]:[Konto nimetus]],2,FALSE)</f>
        <v>Töötasud võlaõiguslike lepingute alusel</v>
      </c>
      <c r="F785" s="41" t="s">
        <v>139</v>
      </c>
      <c r="G785" s="41" t="s">
        <v>24</v>
      </c>
      <c r="J785" s="41" t="s">
        <v>365</v>
      </c>
      <c r="K785" s="41" t="s">
        <v>364</v>
      </c>
      <c r="L785" s="58" t="s">
        <v>386</v>
      </c>
      <c r="M785" s="58" t="str">
        <f>LEFT(Table1[[#This Row],[Tegevusala kood]],2)</f>
        <v>10</v>
      </c>
      <c r="N785" s="41" t="str">
        <f>VLOOKUP(Table1[[#This Row],[Tegevusala kood]],Table4[[Tegevusala kood]:[Tegevusala alanimetus]],2,FALSE)</f>
        <v>Muud asutused</v>
      </c>
      <c r="O785" s="41" t="s">
        <v>1</v>
      </c>
      <c r="P785" s="41" t="s">
        <v>1</v>
      </c>
      <c r="Q785" s="41" t="str">
        <f>VLOOKUP(Table1[[#This Row],[Eelarvekonto]],Table5[[Konto]:[Kontode alanimetus]],5,FALSE)</f>
        <v>Tööjõukulud</v>
      </c>
      <c r="R785" s="42" t="str">
        <f>VLOOKUP(Table1[[#This Row],[Tegevusala kood]],Table4[[Tegevusala kood]:[Tegevusala alanimetus]],4,FALSE)</f>
        <v>Laste ja noorte sotsiaalhoolekande asutused</v>
      </c>
      <c r="S785" s="53"/>
      <c r="T785" s="53"/>
      <c r="U785" s="53">
        <f>Table1[[#This Row],[Summa]]+Table1[[#This Row],[I Muudatus]]+Table1[[#This Row],[II Muudatus]]</f>
        <v>6600</v>
      </c>
    </row>
    <row r="786" spans="1:21" ht="14.25" hidden="1" customHeight="1" x14ac:dyDescent="0.25">
      <c r="A786" s="41" t="s">
        <v>645</v>
      </c>
      <c r="B786" s="41">
        <v>3960</v>
      </c>
      <c r="C786" s="52">
        <v>5005</v>
      </c>
      <c r="D786" s="52" t="str">
        <f>LEFT(Table1[[#This Row],[Eelarvekonto]],2)</f>
        <v>50</v>
      </c>
      <c r="E786" s="41" t="str">
        <f>VLOOKUP(Table1[[#This Row],[Eelarvekonto]],Table5[[Konto]:[Konto nimetus]],2,FALSE)</f>
        <v>Töötasud võlaõiguslike lepingute alusel</v>
      </c>
      <c r="F786" s="41" t="s">
        <v>139</v>
      </c>
      <c r="G786" s="41" t="s">
        <v>24</v>
      </c>
      <c r="J786" s="41" t="s">
        <v>365</v>
      </c>
      <c r="K786" s="41" t="s">
        <v>364</v>
      </c>
      <c r="L786" s="58" t="s">
        <v>386</v>
      </c>
      <c r="M786" s="58" t="str">
        <f>LEFT(Table1[[#This Row],[Tegevusala kood]],2)</f>
        <v>10</v>
      </c>
      <c r="N786" s="41" t="str">
        <f>VLOOKUP(Table1[[#This Row],[Tegevusala kood]],Table4[[Tegevusala kood]:[Tegevusala alanimetus]],2,FALSE)</f>
        <v>Muud asutused</v>
      </c>
      <c r="O786" s="41" t="s">
        <v>1</v>
      </c>
      <c r="P786" s="41" t="s">
        <v>1</v>
      </c>
      <c r="Q786" s="41" t="str">
        <f>VLOOKUP(Table1[[#This Row],[Eelarvekonto]],Table5[[Konto]:[Kontode alanimetus]],5,FALSE)</f>
        <v>Tööjõukulud</v>
      </c>
      <c r="R786" s="42" t="str">
        <f>VLOOKUP(Table1[[#This Row],[Tegevusala kood]],Table4[[Tegevusala kood]:[Tegevusala alanimetus]],4,FALSE)</f>
        <v>Laste ja noorte sotsiaalhoolekande asutused</v>
      </c>
      <c r="S786" s="53"/>
      <c r="T786" s="53"/>
      <c r="U786" s="53">
        <f>Table1[[#This Row],[Summa]]+Table1[[#This Row],[I Muudatus]]+Table1[[#This Row],[II Muudatus]]</f>
        <v>3960</v>
      </c>
    </row>
    <row r="787" spans="1:21" ht="14.25" hidden="1" customHeight="1" x14ac:dyDescent="0.25">
      <c r="A787" s="41" t="s">
        <v>207</v>
      </c>
      <c r="B787" s="41">
        <v>972</v>
      </c>
      <c r="C787" s="52">
        <v>5500</v>
      </c>
      <c r="D787" s="52" t="str">
        <f>LEFT(Table1[[#This Row],[Eelarvekonto]],2)</f>
        <v>55</v>
      </c>
      <c r="E787" s="41" t="str">
        <f>VLOOKUP(Table1[[#This Row],[Eelarvekonto]],Table5[[Konto]:[Konto nimetus]],2,FALSE)</f>
        <v>Administreerimiskulud</v>
      </c>
      <c r="F787" s="41" t="s">
        <v>139</v>
      </c>
      <c r="G787" s="41" t="s">
        <v>24</v>
      </c>
      <c r="J787" s="41" t="s">
        <v>181</v>
      </c>
      <c r="K787" s="41" t="s">
        <v>179</v>
      </c>
      <c r="L787" s="58" t="s">
        <v>180</v>
      </c>
      <c r="M787" s="58" t="str">
        <f>LEFT(Table1[[#This Row],[Tegevusala kood]],2)</f>
        <v>08</v>
      </c>
      <c r="N787" s="41" t="str">
        <f>VLOOKUP(Table1[[#This Row],[Tegevusala kood]],Table4[[Tegevusala kood]:[Tegevusala alanimetus]],2,FALSE)</f>
        <v>Muuga Spordihoone</v>
      </c>
      <c r="O787" s="41" t="s">
        <v>1</v>
      </c>
      <c r="P787" s="41" t="s">
        <v>1</v>
      </c>
      <c r="Q787" s="41" t="str">
        <f>VLOOKUP(Table1[[#This Row],[Eelarvekonto]],Table5[[Konto]:[Kontode alanimetus]],5,FALSE)</f>
        <v>Majandamiskulud</v>
      </c>
      <c r="R787" s="42" t="str">
        <f>VLOOKUP(Table1[[#This Row],[Tegevusala kood]],Table4[[Tegevusala kood]:[Tegevusala alanimetus]],4,FALSE)</f>
        <v>Sport</v>
      </c>
      <c r="S787" s="53"/>
      <c r="T787" s="53"/>
      <c r="U787" s="53">
        <f>Table1[[#This Row],[Summa]]+Table1[[#This Row],[I Muudatus]]+Table1[[#This Row],[II Muudatus]]</f>
        <v>972</v>
      </c>
    </row>
    <row r="788" spans="1:21" ht="14.25" hidden="1" customHeight="1" x14ac:dyDescent="0.25">
      <c r="A788" s="41" t="s">
        <v>149</v>
      </c>
      <c r="B788" s="41">
        <v>14400</v>
      </c>
      <c r="C788" s="52">
        <v>551101</v>
      </c>
      <c r="D788" s="52" t="str">
        <f>LEFT(Table1[[#This Row],[Eelarvekonto]],2)</f>
        <v>55</v>
      </c>
      <c r="E788" s="41" t="str">
        <f>VLOOKUP(Table1[[#This Row],[Eelarvekonto]],Table5[[Konto]:[Konto nimetus]],2,FALSE)</f>
        <v>Elekter</v>
      </c>
      <c r="F788" s="41" t="s">
        <v>139</v>
      </c>
      <c r="G788" s="41" t="s">
        <v>24</v>
      </c>
      <c r="J788" s="41" t="s">
        <v>181</v>
      </c>
      <c r="K788" s="41" t="s">
        <v>179</v>
      </c>
      <c r="L788" s="58" t="s">
        <v>180</v>
      </c>
      <c r="M788" s="58" t="str">
        <f>LEFT(Table1[[#This Row],[Tegevusala kood]],2)</f>
        <v>08</v>
      </c>
      <c r="N788" s="41" t="str">
        <f>VLOOKUP(Table1[[#This Row],[Tegevusala kood]],Table4[[Tegevusala kood]:[Tegevusala alanimetus]],2,FALSE)</f>
        <v>Muuga Spordihoone</v>
      </c>
      <c r="O788" s="41" t="s">
        <v>1</v>
      </c>
      <c r="P788" s="41" t="s">
        <v>1</v>
      </c>
      <c r="Q788" s="41" t="str">
        <f>VLOOKUP(Table1[[#This Row],[Eelarvekonto]],Table5[[Konto]:[Kontode alanimetus]],5,FALSE)</f>
        <v>Majandamiskulud</v>
      </c>
      <c r="R788" s="42" t="str">
        <f>VLOOKUP(Table1[[#This Row],[Tegevusala kood]],Table4[[Tegevusala kood]:[Tegevusala alanimetus]],4,FALSE)</f>
        <v>Sport</v>
      </c>
      <c r="S788" s="53"/>
      <c r="T788" s="53"/>
      <c r="U788" s="53">
        <f>Table1[[#This Row],[Summa]]+Table1[[#This Row],[I Muudatus]]+Table1[[#This Row],[II Muudatus]]</f>
        <v>14400</v>
      </c>
    </row>
    <row r="789" spans="1:21" ht="14.25" hidden="1" customHeight="1" x14ac:dyDescent="0.25">
      <c r="A789" s="41" t="s">
        <v>479</v>
      </c>
      <c r="B789" s="41">
        <v>600</v>
      </c>
      <c r="C789" s="52">
        <v>551102</v>
      </c>
      <c r="D789" s="52" t="str">
        <f>LEFT(Table1[[#This Row],[Eelarvekonto]],2)</f>
        <v>55</v>
      </c>
      <c r="E789" s="41" t="str">
        <f>VLOOKUP(Table1[[#This Row],[Eelarvekonto]],Table5[[Konto]:[Konto nimetus]],2,FALSE)</f>
        <v>Vesi ja kanalisatsioon</v>
      </c>
      <c r="F789" s="41" t="s">
        <v>139</v>
      </c>
      <c r="G789" s="41" t="s">
        <v>24</v>
      </c>
      <c r="J789" s="41" t="s">
        <v>181</v>
      </c>
      <c r="K789" s="41" t="s">
        <v>179</v>
      </c>
      <c r="L789" s="58" t="s">
        <v>180</v>
      </c>
      <c r="M789" s="58" t="str">
        <f>LEFT(Table1[[#This Row],[Tegevusala kood]],2)</f>
        <v>08</v>
      </c>
      <c r="N789" s="41" t="str">
        <f>VLOOKUP(Table1[[#This Row],[Tegevusala kood]],Table4[[Tegevusala kood]:[Tegevusala alanimetus]],2,FALSE)</f>
        <v>Muuga Spordihoone</v>
      </c>
      <c r="O789" s="41" t="s">
        <v>1</v>
      </c>
      <c r="P789" s="41" t="s">
        <v>1</v>
      </c>
      <c r="Q789" s="41" t="str">
        <f>VLOOKUP(Table1[[#This Row],[Eelarvekonto]],Table5[[Konto]:[Kontode alanimetus]],5,FALSE)</f>
        <v>Majandamiskulud</v>
      </c>
      <c r="R789" s="42" t="str">
        <f>VLOOKUP(Table1[[#This Row],[Tegevusala kood]],Table4[[Tegevusala kood]:[Tegevusala alanimetus]],4,FALSE)</f>
        <v>Sport</v>
      </c>
      <c r="S789" s="53"/>
      <c r="T789" s="53"/>
      <c r="U789" s="53">
        <f>Table1[[#This Row],[Summa]]+Table1[[#This Row],[I Muudatus]]+Table1[[#This Row],[II Muudatus]]</f>
        <v>600</v>
      </c>
    </row>
    <row r="790" spans="1:21" ht="14.25" hidden="1" customHeight="1" x14ac:dyDescent="0.25">
      <c r="A790" s="41" t="s">
        <v>197</v>
      </c>
      <c r="B790" s="41">
        <v>660</v>
      </c>
      <c r="C790" s="52">
        <v>5513081</v>
      </c>
      <c r="D790" s="52" t="str">
        <f>LEFT(Table1[[#This Row],[Eelarvekonto]],2)</f>
        <v>55</v>
      </c>
      <c r="E790" s="41" t="str">
        <f>VLOOKUP(Table1[[#This Row],[Eelarvekonto]],Table5[[Konto]:[Konto nimetus]],2,FALSE)</f>
        <v>Isikliku sõiduauto kompensatsioon</v>
      </c>
      <c r="F790" s="41" t="s">
        <v>139</v>
      </c>
      <c r="G790" s="41" t="s">
        <v>24</v>
      </c>
      <c r="J790" s="41" t="s">
        <v>181</v>
      </c>
      <c r="K790" s="41" t="s">
        <v>179</v>
      </c>
      <c r="L790" s="58" t="s">
        <v>180</v>
      </c>
      <c r="M790" s="58" t="str">
        <f>LEFT(Table1[[#This Row],[Tegevusala kood]],2)</f>
        <v>08</v>
      </c>
      <c r="N790" s="41" t="str">
        <f>VLOOKUP(Table1[[#This Row],[Tegevusala kood]],Table4[[Tegevusala kood]:[Tegevusala alanimetus]],2,FALSE)</f>
        <v>Muuga Spordihoone</v>
      </c>
      <c r="O790" s="41" t="s">
        <v>1</v>
      </c>
      <c r="P790" s="41" t="s">
        <v>1</v>
      </c>
      <c r="Q790" s="41" t="str">
        <f>VLOOKUP(Table1[[#This Row],[Eelarvekonto]],Table5[[Konto]:[Kontode alanimetus]],5,FALSE)</f>
        <v>Majandamiskulud</v>
      </c>
      <c r="R790" s="42" t="str">
        <f>VLOOKUP(Table1[[#This Row],[Tegevusala kood]],Table4[[Tegevusala kood]:[Tegevusala alanimetus]],4,FALSE)</f>
        <v>Sport</v>
      </c>
      <c r="S790" s="53"/>
      <c r="T790" s="53"/>
      <c r="U790" s="53">
        <f>Table1[[#This Row],[Summa]]+Table1[[#This Row],[I Muudatus]]+Table1[[#This Row],[II Muudatus]]</f>
        <v>660</v>
      </c>
    </row>
    <row r="791" spans="1:21" ht="14.25" hidden="1" customHeight="1" x14ac:dyDescent="0.25">
      <c r="A791" s="41" t="s">
        <v>462</v>
      </c>
      <c r="B791" s="41">
        <v>8400</v>
      </c>
      <c r="C791" s="52">
        <v>5002</v>
      </c>
      <c r="D791" s="52" t="str">
        <f>LEFT(Table1[[#This Row],[Eelarvekonto]],2)</f>
        <v>50</v>
      </c>
      <c r="E791" s="41" t="str">
        <f>VLOOKUP(Table1[[#This Row],[Eelarvekonto]],Table5[[Konto]:[Konto nimetus]],2,FALSE)</f>
        <v>Töötajate töötasud</v>
      </c>
      <c r="F791" s="41" t="s">
        <v>139</v>
      </c>
      <c r="G791" s="41" t="s">
        <v>24</v>
      </c>
      <c r="J791" s="41" t="s">
        <v>181</v>
      </c>
      <c r="K791" s="41" t="s">
        <v>179</v>
      </c>
      <c r="L791" s="58" t="s">
        <v>180</v>
      </c>
      <c r="M791" s="58" t="str">
        <f>LEFT(Table1[[#This Row],[Tegevusala kood]],2)</f>
        <v>08</v>
      </c>
      <c r="N791" s="41" t="str">
        <f>VLOOKUP(Table1[[#This Row],[Tegevusala kood]],Table4[[Tegevusala kood]:[Tegevusala alanimetus]],2,FALSE)</f>
        <v>Muuga Spordihoone</v>
      </c>
      <c r="O791" s="41" t="s">
        <v>1</v>
      </c>
      <c r="P791" s="41" t="s">
        <v>1</v>
      </c>
      <c r="Q791" s="41" t="str">
        <f>VLOOKUP(Table1[[#This Row],[Eelarvekonto]],Table5[[Konto]:[Kontode alanimetus]],5,FALSE)</f>
        <v>Tööjõukulud</v>
      </c>
      <c r="R791" s="42" t="str">
        <f>VLOOKUP(Table1[[#This Row],[Tegevusala kood]],Table4[[Tegevusala kood]:[Tegevusala alanimetus]],4,FALSE)</f>
        <v>Sport</v>
      </c>
      <c r="S791" s="53"/>
      <c r="T791" s="53"/>
      <c r="U791" s="53">
        <f>Table1[[#This Row],[Summa]]+Table1[[#This Row],[I Muudatus]]+Table1[[#This Row],[II Muudatus]]</f>
        <v>8400</v>
      </c>
    </row>
    <row r="792" spans="1:21" ht="14.25" hidden="1" customHeight="1" x14ac:dyDescent="0.25">
      <c r="A792" s="41" t="s">
        <v>158</v>
      </c>
      <c r="B792" s="41">
        <v>5491.82</v>
      </c>
      <c r="C792" s="52">
        <v>506</v>
      </c>
      <c r="D792" s="52" t="str">
        <f>LEFT(Table1[[#This Row],[Eelarvekonto]],2)</f>
        <v>50</v>
      </c>
      <c r="E792" s="41" t="str">
        <f>VLOOKUP(Table1[[#This Row],[Eelarvekonto]],Table5[[Konto]:[Konto nimetus]],2,FALSE)</f>
        <v>Tööjõukuludega kaasnevad maksud ja sotsiaalkindlustusmaksed</v>
      </c>
      <c r="F792" s="41" t="s">
        <v>139</v>
      </c>
      <c r="G792" s="41" t="s">
        <v>24</v>
      </c>
      <c r="J792" s="41" t="s">
        <v>181</v>
      </c>
      <c r="K792" s="41" t="s">
        <v>179</v>
      </c>
      <c r="L792" s="58" t="s">
        <v>180</v>
      </c>
      <c r="M792" s="58" t="str">
        <f>LEFT(Table1[[#This Row],[Tegevusala kood]],2)</f>
        <v>08</v>
      </c>
      <c r="N792" s="41" t="str">
        <f>VLOOKUP(Table1[[#This Row],[Tegevusala kood]],Table4[[Tegevusala kood]:[Tegevusala alanimetus]],2,FALSE)</f>
        <v>Muuga Spordihoone</v>
      </c>
      <c r="O792" s="41" t="s">
        <v>1</v>
      </c>
      <c r="P792" s="41" t="s">
        <v>1</v>
      </c>
      <c r="Q792" s="41" t="str">
        <f>VLOOKUP(Table1[[#This Row],[Eelarvekonto]],Table5[[Konto]:[Kontode alanimetus]],5,FALSE)</f>
        <v>Tööjõukulud</v>
      </c>
      <c r="R792" s="42" t="str">
        <f>VLOOKUP(Table1[[#This Row],[Tegevusala kood]],Table4[[Tegevusala kood]:[Tegevusala alanimetus]],4,FALSE)</f>
        <v>Sport</v>
      </c>
      <c r="S792" s="53"/>
      <c r="T792" s="53"/>
      <c r="U792" s="53">
        <f>Table1[[#This Row],[Summa]]+Table1[[#This Row],[I Muudatus]]+Table1[[#This Row],[II Muudatus]]</f>
        <v>5491.82</v>
      </c>
    </row>
    <row r="793" spans="1:21" ht="14.25" hidden="1" customHeight="1" x14ac:dyDescent="0.25">
      <c r="A793" s="41" t="s">
        <v>471</v>
      </c>
      <c r="B793" s="41">
        <v>7848</v>
      </c>
      <c r="C793" s="52">
        <v>5002</v>
      </c>
      <c r="D793" s="52" t="str">
        <f>LEFT(Table1[[#This Row],[Eelarvekonto]],2)</f>
        <v>50</v>
      </c>
      <c r="E793" s="41" t="str">
        <f>VLOOKUP(Table1[[#This Row],[Eelarvekonto]],Table5[[Konto]:[Konto nimetus]],2,FALSE)</f>
        <v>Töötajate töötasud</v>
      </c>
      <c r="F793" s="41" t="s">
        <v>139</v>
      </c>
      <c r="G793" s="41" t="s">
        <v>24</v>
      </c>
      <c r="J793" s="41" t="s">
        <v>181</v>
      </c>
      <c r="K793" s="41" t="s">
        <v>179</v>
      </c>
      <c r="L793" s="58" t="s">
        <v>180</v>
      </c>
      <c r="M793" s="58" t="str">
        <f>LEFT(Table1[[#This Row],[Tegevusala kood]],2)</f>
        <v>08</v>
      </c>
      <c r="N793" s="41" t="str">
        <f>VLOOKUP(Table1[[#This Row],[Tegevusala kood]],Table4[[Tegevusala kood]:[Tegevusala alanimetus]],2,FALSE)</f>
        <v>Muuga Spordihoone</v>
      </c>
      <c r="O793" s="41" t="s">
        <v>1</v>
      </c>
      <c r="P793" s="41" t="s">
        <v>1</v>
      </c>
      <c r="Q793" s="41" t="str">
        <f>VLOOKUP(Table1[[#This Row],[Eelarvekonto]],Table5[[Konto]:[Kontode alanimetus]],5,FALSE)</f>
        <v>Tööjõukulud</v>
      </c>
      <c r="R793" s="42" t="str">
        <f>VLOOKUP(Table1[[#This Row],[Tegevusala kood]],Table4[[Tegevusala kood]:[Tegevusala alanimetus]],4,FALSE)</f>
        <v>Sport</v>
      </c>
      <c r="S793" s="53"/>
      <c r="T793" s="53"/>
      <c r="U793" s="53">
        <f>Table1[[#This Row],[Summa]]+Table1[[#This Row],[I Muudatus]]+Table1[[#This Row],[II Muudatus]]</f>
        <v>7848</v>
      </c>
    </row>
    <row r="794" spans="1:21" ht="14.25" hidden="1" customHeight="1" x14ac:dyDescent="0.25">
      <c r="A794" s="41" t="s">
        <v>171</v>
      </c>
      <c r="B794" s="41">
        <v>110.28</v>
      </c>
      <c r="C794" s="52">
        <v>5511</v>
      </c>
      <c r="D794" s="52" t="str">
        <f>LEFT(Table1[[#This Row],[Eelarvekonto]],2)</f>
        <v>55</v>
      </c>
      <c r="E794" s="41" t="str">
        <f>VLOOKUP(Table1[[#This Row],[Eelarvekonto]],Table5[[Konto]:[Konto nimetus]],2,FALSE)</f>
        <v>Kinnistute, hoonete ja ruumide majandamiskulud</v>
      </c>
      <c r="F794" s="41" t="s">
        <v>139</v>
      </c>
      <c r="G794" s="41" t="s">
        <v>24</v>
      </c>
      <c r="J794" s="41" t="s">
        <v>181</v>
      </c>
      <c r="K794" s="41" t="s">
        <v>179</v>
      </c>
      <c r="L794" s="58" t="s">
        <v>180</v>
      </c>
      <c r="M794" s="58" t="str">
        <f>LEFT(Table1[[#This Row],[Tegevusala kood]],2)</f>
        <v>08</v>
      </c>
      <c r="N794" s="41" t="str">
        <f>VLOOKUP(Table1[[#This Row],[Tegevusala kood]],Table4[[Tegevusala kood]:[Tegevusala alanimetus]],2,FALSE)</f>
        <v>Muuga Spordihoone</v>
      </c>
      <c r="O794" s="41" t="s">
        <v>1</v>
      </c>
      <c r="P794" s="41" t="s">
        <v>1</v>
      </c>
      <c r="Q794" s="41" t="str">
        <f>VLOOKUP(Table1[[#This Row],[Eelarvekonto]],Table5[[Konto]:[Kontode alanimetus]],5,FALSE)</f>
        <v>Majandamiskulud</v>
      </c>
      <c r="R794" s="42" t="str">
        <f>VLOOKUP(Table1[[#This Row],[Tegevusala kood]],Table4[[Tegevusala kood]:[Tegevusala alanimetus]],4,FALSE)</f>
        <v>Sport</v>
      </c>
      <c r="S794" s="53"/>
      <c r="T794" s="53"/>
      <c r="U794" s="53">
        <f>Table1[[#This Row],[Summa]]+Table1[[#This Row],[I Muudatus]]+Table1[[#This Row],[II Muudatus]]</f>
        <v>110.28</v>
      </c>
    </row>
    <row r="795" spans="1:21" ht="14.25" hidden="1" customHeight="1" x14ac:dyDescent="0.25">
      <c r="A795" s="41" t="s">
        <v>478</v>
      </c>
      <c r="B795" s="41">
        <v>316.8</v>
      </c>
      <c r="C795" s="52">
        <v>5511</v>
      </c>
      <c r="D795" s="52" t="str">
        <f>LEFT(Table1[[#This Row],[Eelarvekonto]],2)</f>
        <v>55</v>
      </c>
      <c r="E795" s="41" t="str">
        <f>VLOOKUP(Table1[[#This Row],[Eelarvekonto]],Table5[[Konto]:[Konto nimetus]],2,FALSE)</f>
        <v>Kinnistute, hoonete ja ruumide majandamiskulud</v>
      </c>
      <c r="F795" s="41" t="s">
        <v>139</v>
      </c>
      <c r="G795" s="41" t="s">
        <v>24</v>
      </c>
      <c r="J795" s="41" t="s">
        <v>181</v>
      </c>
      <c r="K795" s="41" t="s">
        <v>179</v>
      </c>
      <c r="L795" s="58" t="s">
        <v>180</v>
      </c>
      <c r="M795" s="58" t="str">
        <f>LEFT(Table1[[#This Row],[Tegevusala kood]],2)</f>
        <v>08</v>
      </c>
      <c r="N795" s="41" t="str">
        <f>VLOOKUP(Table1[[#This Row],[Tegevusala kood]],Table4[[Tegevusala kood]:[Tegevusala alanimetus]],2,FALSE)</f>
        <v>Muuga Spordihoone</v>
      </c>
      <c r="O795" s="41" t="s">
        <v>1</v>
      </c>
      <c r="P795" s="41" t="s">
        <v>1</v>
      </c>
      <c r="Q795" s="41" t="str">
        <f>VLOOKUP(Table1[[#This Row],[Eelarvekonto]],Table5[[Konto]:[Kontode alanimetus]],5,FALSE)</f>
        <v>Majandamiskulud</v>
      </c>
      <c r="R795" s="42" t="str">
        <f>VLOOKUP(Table1[[#This Row],[Tegevusala kood]],Table4[[Tegevusala kood]:[Tegevusala alanimetus]],4,FALSE)</f>
        <v>Sport</v>
      </c>
      <c r="S795" s="53"/>
      <c r="T795" s="53"/>
      <c r="U795" s="53">
        <f>Table1[[#This Row],[Summa]]+Table1[[#This Row],[I Muudatus]]+Table1[[#This Row],[II Muudatus]]</f>
        <v>316.8</v>
      </c>
    </row>
    <row r="796" spans="1:21" ht="14.25" hidden="1" customHeight="1" x14ac:dyDescent="0.25">
      <c r="A796" s="41" t="s">
        <v>301</v>
      </c>
      <c r="B796" s="41">
        <v>5083.2</v>
      </c>
      <c r="C796" s="52">
        <v>5005</v>
      </c>
      <c r="D796" s="52" t="str">
        <f>LEFT(Table1[[#This Row],[Eelarvekonto]],2)</f>
        <v>50</v>
      </c>
      <c r="E796" s="41" t="str">
        <f>VLOOKUP(Table1[[#This Row],[Eelarvekonto]],Table5[[Konto]:[Konto nimetus]],2,FALSE)</f>
        <v>Töötasud võlaõiguslike lepingute alusel</v>
      </c>
      <c r="F796" s="41" t="s">
        <v>139</v>
      </c>
      <c r="G796" s="41" t="s">
        <v>24</v>
      </c>
      <c r="J796" s="41" t="s">
        <v>293</v>
      </c>
      <c r="K796" s="41" t="s">
        <v>291</v>
      </c>
      <c r="L796" s="58" t="s">
        <v>292</v>
      </c>
      <c r="M796" s="58" t="str">
        <f>LEFT(Table1[[#This Row],[Tegevusala kood]],2)</f>
        <v>09</v>
      </c>
      <c r="N796" s="41" t="str">
        <f>VLOOKUP(Table1[[#This Row],[Tegevusala kood]],Table4[[Tegevusala kood]:[Tegevusala alanimetus]],2,FALSE)</f>
        <v>Pajusti Lasteaed Pajustis</v>
      </c>
      <c r="O796" s="41" t="s">
        <v>1</v>
      </c>
      <c r="P796" s="41" t="s">
        <v>1</v>
      </c>
      <c r="Q796" s="41" t="str">
        <f>VLOOKUP(Table1[[#This Row],[Eelarvekonto]],Table5[[Konto]:[Kontode alanimetus]],5,FALSE)</f>
        <v>Tööjõukulud</v>
      </c>
      <c r="R796" s="42" t="str">
        <f>VLOOKUP(Table1[[#This Row],[Tegevusala kood]],Table4[[Tegevusala kood]:[Tegevusala alanimetus]],4,FALSE)</f>
        <v>Alusharidus</v>
      </c>
      <c r="S796" s="53"/>
      <c r="T796" s="53"/>
      <c r="U796" s="53">
        <f>Table1[[#This Row],[Summa]]+Table1[[#This Row],[I Muudatus]]+Table1[[#This Row],[II Muudatus]]</f>
        <v>5083.2</v>
      </c>
    </row>
    <row r="797" spans="1:21" ht="14.25" hidden="1" customHeight="1" x14ac:dyDescent="0.25">
      <c r="A797" s="41" t="s">
        <v>150</v>
      </c>
      <c r="B797" s="41">
        <v>750</v>
      </c>
      <c r="C797" s="52">
        <v>551102</v>
      </c>
      <c r="D797" s="52" t="str">
        <f>LEFT(Table1[[#This Row],[Eelarvekonto]],2)</f>
        <v>55</v>
      </c>
      <c r="E797" s="41" t="str">
        <f>VLOOKUP(Table1[[#This Row],[Eelarvekonto]],Table5[[Konto]:[Konto nimetus]],2,FALSE)</f>
        <v>Vesi ja kanalisatsioon</v>
      </c>
      <c r="F797" s="41" t="s">
        <v>139</v>
      </c>
      <c r="G797" s="41" t="s">
        <v>24</v>
      </c>
      <c r="J797" s="41" t="s">
        <v>293</v>
      </c>
      <c r="K797" s="41" t="s">
        <v>291</v>
      </c>
      <c r="L797" s="58" t="s">
        <v>292</v>
      </c>
      <c r="M797" s="58" t="str">
        <f>LEFT(Table1[[#This Row],[Tegevusala kood]],2)</f>
        <v>09</v>
      </c>
      <c r="N797" s="41" t="str">
        <f>VLOOKUP(Table1[[#This Row],[Tegevusala kood]],Table4[[Tegevusala kood]:[Tegevusala alanimetus]],2,FALSE)</f>
        <v>Pajusti Lasteaed Pajustis</v>
      </c>
      <c r="O797" s="41" t="s">
        <v>1</v>
      </c>
      <c r="P797" s="41" t="s">
        <v>1</v>
      </c>
      <c r="Q797" s="41" t="str">
        <f>VLOOKUP(Table1[[#This Row],[Eelarvekonto]],Table5[[Konto]:[Kontode alanimetus]],5,FALSE)</f>
        <v>Majandamiskulud</v>
      </c>
      <c r="R797" s="42" t="str">
        <f>VLOOKUP(Table1[[#This Row],[Tegevusala kood]],Table4[[Tegevusala kood]:[Tegevusala alanimetus]],4,FALSE)</f>
        <v>Alusharidus</v>
      </c>
      <c r="S797" s="53"/>
      <c r="T797" s="53"/>
      <c r="U797" s="53">
        <f>Table1[[#This Row],[Summa]]+Table1[[#This Row],[I Muudatus]]+Table1[[#This Row],[II Muudatus]]</f>
        <v>750</v>
      </c>
    </row>
    <row r="798" spans="1:21" ht="14.25" hidden="1" customHeight="1" x14ac:dyDescent="0.25">
      <c r="A798" s="41" t="s">
        <v>1015</v>
      </c>
      <c r="B798" s="41">
        <v>8867.0400000000009</v>
      </c>
      <c r="C798" s="52">
        <v>5521</v>
      </c>
      <c r="D798" s="52" t="str">
        <f>LEFT(Table1[[#This Row],[Eelarvekonto]],2)</f>
        <v>55</v>
      </c>
      <c r="E798" s="41" t="str">
        <f>VLOOKUP(Table1[[#This Row],[Eelarvekonto]],Table5[[Konto]:[Konto nimetus]],2,FALSE)</f>
        <v>Toiduained ja toitlustusteenused</v>
      </c>
      <c r="F798" s="41" t="s">
        <v>139</v>
      </c>
      <c r="G798" s="41" t="s">
        <v>24</v>
      </c>
      <c r="J798" s="41" t="s">
        <v>293</v>
      </c>
      <c r="K798" s="41" t="s">
        <v>291</v>
      </c>
      <c r="L798" s="58" t="s">
        <v>292</v>
      </c>
      <c r="M798" s="58" t="str">
        <f>LEFT(Table1[[#This Row],[Tegevusala kood]],2)</f>
        <v>09</v>
      </c>
      <c r="N798" s="41" t="str">
        <f>VLOOKUP(Table1[[#This Row],[Tegevusala kood]],Table4[[Tegevusala kood]:[Tegevusala alanimetus]],2,FALSE)</f>
        <v>Pajusti Lasteaed Pajustis</v>
      </c>
      <c r="O798" s="41" t="s">
        <v>1</v>
      </c>
      <c r="P798" s="41" t="s">
        <v>1</v>
      </c>
      <c r="Q798" s="41" t="str">
        <f>VLOOKUP(Table1[[#This Row],[Eelarvekonto]],Table5[[Konto]:[Kontode alanimetus]],5,FALSE)</f>
        <v>Majandamiskulud</v>
      </c>
      <c r="R798" s="42" t="str">
        <f>VLOOKUP(Table1[[#This Row],[Tegevusala kood]],Table4[[Tegevusala kood]:[Tegevusala alanimetus]],4,FALSE)</f>
        <v>Alusharidus</v>
      </c>
      <c r="S798" s="53"/>
      <c r="T798" s="53"/>
      <c r="U798" s="53">
        <f>Table1[[#This Row],[Summa]]+Table1[[#This Row],[I Muudatus]]+Table1[[#This Row],[II Muudatus]]</f>
        <v>8867.0400000000009</v>
      </c>
    </row>
    <row r="799" spans="1:21" ht="14.25" hidden="1" customHeight="1" x14ac:dyDescent="0.25">
      <c r="A799" s="41" t="s">
        <v>472</v>
      </c>
      <c r="B799" s="41">
        <v>2200</v>
      </c>
      <c r="C799" s="52">
        <v>5513081</v>
      </c>
      <c r="D799" s="52" t="str">
        <f>LEFT(Table1[[#This Row],[Eelarvekonto]],2)</f>
        <v>55</v>
      </c>
      <c r="E799" s="41" t="str">
        <f>VLOOKUP(Table1[[#This Row],[Eelarvekonto]],Table5[[Konto]:[Konto nimetus]],2,FALSE)</f>
        <v>Isikliku sõiduauto kompensatsioon</v>
      </c>
      <c r="F799" s="41" t="s">
        <v>139</v>
      </c>
      <c r="G799" s="41" t="s">
        <v>24</v>
      </c>
      <c r="J799" s="41" t="s">
        <v>293</v>
      </c>
      <c r="K799" s="41" t="s">
        <v>291</v>
      </c>
      <c r="L799" s="58" t="s">
        <v>292</v>
      </c>
      <c r="M799" s="58" t="str">
        <f>LEFT(Table1[[#This Row],[Tegevusala kood]],2)</f>
        <v>09</v>
      </c>
      <c r="N799" s="41" t="str">
        <f>VLOOKUP(Table1[[#This Row],[Tegevusala kood]],Table4[[Tegevusala kood]:[Tegevusala alanimetus]],2,FALSE)</f>
        <v>Pajusti Lasteaed Pajustis</v>
      </c>
      <c r="O799" s="41" t="s">
        <v>1</v>
      </c>
      <c r="P799" s="41" t="s">
        <v>1</v>
      </c>
      <c r="Q799" s="41" t="str">
        <f>VLOOKUP(Table1[[#This Row],[Eelarvekonto]],Table5[[Konto]:[Kontode alanimetus]],5,FALSE)</f>
        <v>Majandamiskulud</v>
      </c>
      <c r="R799" s="42" t="str">
        <f>VLOOKUP(Table1[[#This Row],[Tegevusala kood]],Table4[[Tegevusala kood]:[Tegevusala alanimetus]],4,FALSE)</f>
        <v>Alusharidus</v>
      </c>
      <c r="S799" s="53"/>
      <c r="T799" s="53"/>
      <c r="U799" s="53">
        <f>Table1[[#This Row],[Summa]]+Table1[[#This Row],[I Muudatus]]+Table1[[#This Row],[II Muudatus]]</f>
        <v>2200</v>
      </c>
    </row>
    <row r="800" spans="1:21" ht="14.25" hidden="1" customHeight="1" x14ac:dyDescent="0.25">
      <c r="A800" s="41" t="s">
        <v>471</v>
      </c>
      <c r="B800" s="41">
        <v>7848</v>
      </c>
      <c r="C800" s="52">
        <v>5002</v>
      </c>
      <c r="D800" s="52" t="str">
        <f>LEFT(Table1[[#This Row],[Eelarvekonto]],2)</f>
        <v>50</v>
      </c>
      <c r="E800" s="41" t="str">
        <f>VLOOKUP(Table1[[#This Row],[Eelarvekonto]],Table5[[Konto]:[Konto nimetus]],2,FALSE)</f>
        <v>Töötajate töötasud</v>
      </c>
      <c r="F800" s="41" t="s">
        <v>139</v>
      </c>
      <c r="G800" s="41" t="s">
        <v>24</v>
      </c>
      <c r="J800" s="41" t="s">
        <v>293</v>
      </c>
      <c r="K800" s="41" t="s">
        <v>291</v>
      </c>
      <c r="L800" s="58" t="s">
        <v>292</v>
      </c>
      <c r="M800" s="58" t="str">
        <f>LEFT(Table1[[#This Row],[Tegevusala kood]],2)</f>
        <v>09</v>
      </c>
      <c r="N800" s="41" t="str">
        <f>VLOOKUP(Table1[[#This Row],[Tegevusala kood]],Table4[[Tegevusala kood]:[Tegevusala alanimetus]],2,FALSE)</f>
        <v>Pajusti Lasteaed Pajustis</v>
      </c>
      <c r="O800" s="41" t="s">
        <v>1</v>
      </c>
      <c r="P800" s="41" t="s">
        <v>1</v>
      </c>
      <c r="Q800" s="41" t="str">
        <f>VLOOKUP(Table1[[#This Row],[Eelarvekonto]],Table5[[Konto]:[Kontode alanimetus]],5,FALSE)</f>
        <v>Tööjõukulud</v>
      </c>
      <c r="R800" s="42" t="str">
        <f>VLOOKUP(Table1[[#This Row],[Tegevusala kood]],Table4[[Tegevusala kood]:[Tegevusala alanimetus]],4,FALSE)</f>
        <v>Alusharidus</v>
      </c>
      <c r="S800" s="53"/>
      <c r="T800" s="53"/>
      <c r="U800" s="53">
        <f>Table1[[#This Row],[Summa]]+Table1[[#This Row],[I Muudatus]]+Table1[[#This Row],[II Muudatus]]</f>
        <v>7848</v>
      </c>
    </row>
    <row r="801" spans="1:21" ht="14.25" hidden="1" customHeight="1" x14ac:dyDescent="0.25">
      <c r="A801" s="42" t="s">
        <v>1458</v>
      </c>
      <c r="B801" s="42">
        <v>1240.8</v>
      </c>
      <c r="C801" s="42">
        <v>5002</v>
      </c>
      <c r="D801" s="53" t="str">
        <f>LEFT(Table1[[#This Row],[Eelarvekonto]],2)</f>
        <v>50</v>
      </c>
      <c r="E801" s="42" t="str">
        <f>VLOOKUP(Table1[[#This Row],[Eelarvekonto]],Table5[[Konto]:[Konto nimetus]],2,FALSE)</f>
        <v>Töötajate töötasud</v>
      </c>
      <c r="F801" s="98" t="s">
        <v>139</v>
      </c>
      <c r="G801" s="42" t="s">
        <v>24</v>
      </c>
      <c r="H801" s="42"/>
      <c r="I801" s="42"/>
      <c r="J801" s="42" t="s">
        <v>296</v>
      </c>
      <c r="K801" s="42" t="s">
        <v>294</v>
      </c>
      <c r="L801" s="62" t="s">
        <v>295</v>
      </c>
      <c r="M801" s="100" t="str">
        <f>LEFT(Table1[[#This Row],[Tegevusala kood]],2)</f>
        <v>09</v>
      </c>
      <c r="N801" s="53" t="str">
        <f>VLOOKUP(Table1[[#This Row],[Tegevusala kood]],Table4[[Tegevusala kood]:[Tegevusala alanimetus]],2,FALSE)</f>
        <v>Kulina Lasteaed</v>
      </c>
      <c r="O801" s="42"/>
      <c r="P801" s="42"/>
      <c r="Q801" s="53" t="str">
        <f>VLOOKUP(Table1[[#This Row],[Eelarvekonto]],Table5[[Konto]:[Kontode alanimetus]],5,FALSE)</f>
        <v>Tööjõukulud</v>
      </c>
      <c r="R801" s="53" t="str">
        <f>VLOOKUP(Table1[[#This Row],[Tegevusala kood]],Table4[[Tegevusala kood]:[Tegevusala alanimetus]],4,FALSE)</f>
        <v>Alusharidus</v>
      </c>
      <c r="S801" s="53"/>
      <c r="T801" s="53"/>
      <c r="U801" s="53">
        <f>Table1[[#This Row],[Summa]]+Table1[[#This Row],[I Muudatus]]+Table1[[#This Row],[II Muudatus]]</f>
        <v>1240.8</v>
      </c>
    </row>
    <row r="802" spans="1:21" ht="14.25" hidden="1" customHeight="1" x14ac:dyDescent="0.25">
      <c r="A802" s="41" t="s">
        <v>462</v>
      </c>
      <c r="B802" s="41">
        <v>16596</v>
      </c>
      <c r="C802" s="52">
        <v>5002</v>
      </c>
      <c r="D802" s="52" t="str">
        <f>LEFT(Table1[[#This Row],[Eelarvekonto]],2)</f>
        <v>50</v>
      </c>
      <c r="E802" s="41" t="str">
        <f>VLOOKUP(Table1[[#This Row],[Eelarvekonto]],Table5[[Konto]:[Konto nimetus]],2,FALSE)</f>
        <v>Töötajate töötasud</v>
      </c>
      <c r="F802" s="41" t="s">
        <v>139</v>
      </c>
      <c r="G802" s="41" t="s">
        <v>24</v>
      </c>
      <c r="J802" s="41" t="s">
        <v>293</v>
      </c>
      <c r="K802" s="41" t="s">
        <v>291</v>
      </c>
      <c r="L802" s="58" t="s">
        <v>292</v>
      </c>
      <c r="M802" s="58" t="str">
        <f>LEFT(Table1[[#This Row],[Tegevusala kood]],2)</f>
        <v>09</v>
      </c>
      <c r="N802" s="41" t="str">
        <f>VLOOKUP(Table1[[#This Row],[Tegevusala kood]],Table4[[Tegevusala kood]:[Tegevusala alanimetus]],2,FALSE)</f>
        <v>Pajusti Lasteaed Pajustis</v>
      </c>
      <c r="O802" s="41" t="s">
        <v>1</v>
      </c>
      <c r="P802" s="41" t="s">
        <v>1</v>
      </c>
      <c r="Q802" s="41" t="str">
        <f>VLOOKUP(Table1[[#This Row],[Eelarvekonto]],Table5[[Konto]:[Kontode alanimetus]],5,FALSE)</f>
        <v>Tööjõukulud</v>
      </c>
      <c r="R802" s="42" t="str">
        <f>VLOOKUP(Table1[[#This Row],[Tegevusala kood]],Table4[[Tegevusala kood]:[Tegevusala alanimetus]],4,FALSE)</f>
        <v>Alusharidus</v>
      </c>
      <c r="S802" s="53"/>
      <c r="T802" s="53"/>
      <c r="U802" s="53">
        <f>Table1[[#This Row],[Summa]]+Table1[[#This Row],[I Muudatus]]+Table1[[#This Row],[II Muudatus]]</f>
        <v>16596</v>
      </c>
    </row>
    <row r="803" spans="1:21" ht="14.25" hidden="1" customHeight="1" x14ac:dyDescent="0.25">
      <c r="A803" s="41" t="s">
        <v>158</v>
      </c>
      <c r="B803" s="41">
        <v>57180.07</v>
      </c>
      <c r="C803" s="52">
        <v>506</v>
      </c>
      <c r="D803" s="52" t="str">
        <f>LEFT(Table1[[#This Row],[Eelarvekonto]],2)</f>
        <v>50</v>
      </c>
      <c r="E803" s="41" t="str">
        <f>VLOOKUP(Table1[[#This Row],[Eelarvekonto]],Table5[[Konto]:[Konto nimetus]],2,FALSE)</f>
        <v>Tööjõukuludega kaasnevad maksud ja sotsiaalkindlustusmaksed</v>
      </c>
      <c r="F803" s="41" t="s">
        <v>139</v>
      </c>
      <c r="G803" s="41" t="s">
        <v>24</v>
      </c>
      <c r="J803" s="41" t="s">
        <v>293</v>
      </c>
      <c r="K803" s="41" t="s">
        <v>291</v>
      </c>
      <c r="L803" s="58" t="s">
        <v>292</v>
      </c>
      <c r="M803" s="58" t="str">
        <f>LEFT(Table1[[#This Row],[Tegevusala kood]],2)</f>
        <v>09</v>
      </c>
      <c r="N803" s="41" t="str">
        <f>VLOOKUP(Table1[[#This Row],[Tegevusala kood]],Table4[[Tegevusala kood]:[Tegevusala alanimetus]],2,FALSE)</f>
        <v>Pajusti Lasteaed Pajustis</v>
      </c>
      <c r="O803" s="41" t="s">
        <v>1</v>
      </c>
      <c r="P803" s="41" t="s">
        <v>1</v>
      </c>
      <c r="Q803" s="41" t="str">
        <f>VLOOKUP(Table1[[#This Row],[Eelarvekonto]],Table5[[Konto]:[Kontode alanimetus]],5,FALSE)</f>
        <v>Tööjõukulud</v>
      </c>
      <c r="R803" s="42" t="str">
        <f>VLOOKUP(Table1[[#This Row],[Tegevusala kood]],Table4[[Tegevusala kood]:[Tegevusala alanimetus]],4,FALSE)</f>
        <v>Alusharidus</v>
      </c>
      <c r="S803" s="53"/>
      <c r="T803" s="53"/>
      <c r="U803" s="53">
        <f>Table1[[#This Row],[Summa]]+Table1[[#This Row],[I Muudatus]]+Table1[[#This Row],[II Muudatus]]</f>
        <v>57180.07</v>
      </c>
    </row>
    <row r="804" spans="1:21" ht="14.25" hidden="1" customHeight="1" x14ac:dyDescent="0.25">
      <c r="A804" s="41" t="s">
        <v>461</v>
      </c>
      <c r="B804" s="41">
        <v>3924</v>
      </c>
      <c r="C804" s="52">
        <v>5002</v>
      </c>
      <c r="D804" s="52" t="str">
        <f>LEFT(Table1[[#This Row],[Eelarvekonto]],2)</f>
        <v>50</v>
      </c>
      <c r="E804" s="41" t="str">
        <f>VLOOKUP(Table1[[#This Row],[Eelarvekonto]],Table5[[Konto]:[Konto nimetus]],2,FALSE)</f>
        <v>Töötajate töötasud</v>
      </c>
      <c r="F804" s="41" t="s">
        <v>139</v>
      </c>
      <c r="G804" s="41" t="s">
        <v>24</v>
      </c>
      <c r="J804" s="41" t="s">
        <v>293</v>
      </c>
      <c r="K804" s="41" t="s">
        <v>291</v>
      </c>
      <c r="L804" s="58" t="s">
        <v>292</v>
      </c>
      <c r="M804" s="58" t="str">
        <f>LEFT(Table1[[#This Row],[Tegevusala kood]],2)</f>
        <v>09</v>
      </c>
      <c r="N804" s="41" t="str">
        <f>VLOOKUP(Table1[[#This Row],[Tegevusala kood]],Table4[[Tegevusala kood]:[Tegevusala alanimetus]],2,FALSE)</f>
        <v>Pajusti Lasteaed Pajustis</v>
      </c>
      <c r="O804" s="41" t="s">
        <v>1</v>
      </c>
      <c r="P804" s="41" t="s">
        <v>1</v>
      </c>
      <c r="Q804" s="41" t="str">
        <f>VLOOKUP(Table1[[#This Row],[Eelarvekonto]],Table5[[Konto]:[Kontode alanimetus]],5,FALSE)</f>
        <v>Tööjõukulud</v>
      </c>
      <c r="R804" s="42" t="str">
        <f>VLOOKUP(Table1[[#This Row],[Tegevusala kood]],Table4[[Tegevusala kood]:[Tegevusala alanimetus]],4,FALSE)</f>
        <v>Alusharidus</v>
      </c>
      <c r="S804" s="53"/>
      <c r="T804" s="53"/>
      <c r="U804" s="53">
        <f>Table1[[#This Row],[Summa]]+Table1[[#This Row],[I Muudatus]]+Table1[[#This Row],[II Muudatus]]</f>
        <v>3924</v>
      </c>
    </row>
    <row r="805" spans="1:21" ht="14.25" hidden="1" customHeight="1" x14ac:dyDescent="0.25">
      <c r="A805" s="41" t="s">
        <v>528</v>
      </c>
      <c r="B805" s="64">
        <v>61008</v>
      </c>
      <c r="C805" s="52">
        <v>5002</v>
      </c>
      <c r="D805" s="52" t="str">
        <f>LEFT(Table1[[#This Row],[Eelarvekonto]],2)</f>
        <v>50</v>
      </c>
      <c r="E805" s="41" t="str">
        <f>VLOOKUP(Table1[[#This Row],[Eelarvekonto]],Table5[[Konto]:[Konto nimetus]],2,FALSE)</f>
        <v>Töötajate töötasud</v>
      </c>
      <c r="F805" s="41" t="s">
        <v>139</v>
      </c>
      <c r="G805" s="41" t="s">
        <v>24</v>
      </c>
      <c r="J805" s="41" t="s">
        <v>293</v>
      </c>
      <c r="K805" s="41" t="s">
        <v>291</v>
      </c>
      <c r="L805" s="58" t="s">
        <v>292</v>
      </c>
      <c r="M805" s="58" t="str">
        <f>LEFT(Table1[[#This Row],[Tegevusala kood]],2)</f>
        <v>09</v>
      </c>
      <c r="N805" s="41" t="str">
        <f>VLOOKUP(Table1[[#This Row],[Tegevusala kood]],Table4[[Tegevusala kood]:[Tegevusala alanimetus]],2,FALSE)</f>
        <v>Pajusti Lasteaed Pajustis</v>
      </c>
      <c r="O805" s="41" t="s">
        <v>1</v>
      </c>
      <c r="P805" s="41" t="s">
        <v>1</v>
      </c>
      <c r="Q805" s="41" t="str">
        <f>VLOOKUP(Table1[[#This Row],[Eelarvekonto]],Table5[[Konto]:[Kontode alanimetus]],5,FALSE)</f>
        <v>Tööjõukulud</v>
      </c>
      <c r="R805" s="42" t="str">
        <f>VLOOKUP(Table1[[#This Row],[Tegevusala kood]],Table4[[Tegevusala kood]:[Tegevusala alanimetus]],4,FALSE)</f>
        <v>Alusharidus</v>
      </c>
      <c r="S805" s="53"/>
      <c r="T805" s="53"/>
      <c r="U805" s="53">
        <f>Table1[[#This Row],[Summa]]+Table1[[#This Row],[I Muudatus]]+Table1[[#This Row],[II Muudatus]]</f>
        <v>61008</v>
      </c>
    </row>
    <row r="806" spans="1:21" ht="14.25" hidden="1" customHeight="1" x14ac:dyDescent="0.25">
      <c r="A806" s="41" t="s">
        <v>529</v>
      </c>
      <c r="B806" s="41">
        <v>25272</v>
      </c>
      <c r="C806" s="52">
        <v>5002</v>
      </c>
      <c r="D806" s="52" t="str">
        <f>LEFT(Table1[[#This Row],[Eelarvekonto]],2)</f>
        <v>50</v>
      </c>
      <c r="E806" s="41" t="str">
        <f>VLOOKUP(Table1[[#This Row],[Eelarvekonto]],Table5[[Konto]:[Konto nimetus]],2,FALSE)</f>
        <v>Töötajate töötasud</v>
      </c>
      <c r="F806" s="41" t="s">
        <v>139</v>
      </c>
      <c r="G806" s="41" t="s">
        <v>24</v>
      </c>
      <c r="J806" s="41" t="s">
        <v>293</v>
      </c>
      <c r="K806" s="41" t="s">
        <v>291</v>
      </c>
      <c r="L806" s="58" t="s">
        <v>292</v>
      </c>
      <c r="M806" s="58" t="str">
        <f>LEFT(Table1[[#This Row],[Tegevusala kood]],2)</f>
        <v>09</v>
      </c>
      <c r="N806" s="41" t="str">
        <f>VLOOKUP(Table1[[#This Row],[Tegevusala kood]],Table4[[Tegevusala kood]:[Tegevusala alanimetus]],2,FALSE)</f>
        <v>Pajusti Lasteaed Pajustis</v>
      </c>
      <c r="O806" s="41" t="s">
        <v>1</v>
      </c>
      <c r="P806" s="41" t="s">
        <v>1</v>
      </c>
      <c r="Q806" s="41" t="str">
        <f>VLOOKUP(Table1[[#This Row],[Eelarvekonto]],Table5[[Konto]:[Kontode alanimetus]],5,FALSE)</f>
        <v>Tööjõukulud</v>
      </c>
      <c r="R806" s="42" t="str">
        <f>VLOOKUP(Table1[[#This Row],[Tegevusala kood]],Table4[[Tegevusala kood]:[Tegevusala alanimetus]],4,FALSE)</f>
        <v>Alusharidus</v>
      </c>
      <c r="S806" s="53"/>
      <c r="T806" s="53"/>
      <c r="U806" s="53">
        <f>Table1[[#This Row],[Summa]]+Table1[[#This Row],[I Muudatus]]+Table1[[#This Row],[II Muudatus]]</f>
        <v>25272</v>
      </c>
    </row>
    <row r="807" spans="1:21" ht="14.25" hidden="1" customHeight="1" x14ac:dyDescent="0.25">
      <c r="A807" s="41" t="s">
        <v>545</v>
      </c>
      <c r="B807" s="41">
        <v>5996.4</v>
      </c>
      <c r="C807" s="52">
        <v>5002</v>
      </c>
      <c r="D807" s="52" t="str">
        <f>LEFT(Table1[[#This Row],[Eelarvekonto]],2)</f>
        <v>50</v>
      </c>
      <c r="E807" s="41" t="str">
        <f>VLOOKUP(Table1[[#This Row],[Eelarvekonto]],Table5[[Konto]:[Konto nimetus]],2,FALSE)</f>
        <v>Töötajate töötasud</v>
      </c>
      <c r="F807" s="41" t="s">
        <v>139</v>
      </c>
      <c r="G807" s="41" t="s">
        <v>24</v>
      </c>
      <c r="J807" s="41" t="s">
        <v>293</v>
      </c>
      <c r="K807" s="41" t="s">
        <v>291</v>
      </c>
      <c r="L807" s="58" t="s">
        <v>292</v>
      </c>
      <c r="M807" s="58" t="str">
        <f>LEFT(Table1[[#This Row],[Tegevusala kood]],2)</f>
        <v>09</v>
      </c>
      <c r="N807" s="41" t="str">
        <f>VLOOKUP(Table1[[#This Row],[Tegevusala kood]],Table4[[Tegevusala kood]:[Tegevusala alanimetus]],2,FALSE)</f>
        <v>Pajusti Lasteaed Pajustis</v>
      </c>
      <c r="O807" s="41" t="s">
        <v>1</v>
      </c>
      <c r="P807" s="41" t="s">
        <v>1</v>
      </c>
      <c r="Q807" s="41" t="str">
        <f>VLOOKUP(Table1[[#This Row],[Eelarvekonto]],Table5[[Konto]:[Kontode alanimetus]],5,FALSE)</f>
        <v>Tööjõukulud</v>
      </c>
      <c r="R807" s="42" t="str">
        <f>VLOOKUP(Table1[[#This Row],[Tegevusala kood]],Table4[[Tegevusala kood]:[Tegevusala alanimetus]],4,FALSE)</f>
        <v>Alusharidus</v>
      </c>
      <c r="S807" s="53"/>
      <c r="T807" s="53"/>
      <c r="U807" s="53">
        <f>Table1[[#This Row],[Summa]]+Table1[[#This Row],[I Muudatus]]+Table1[[#This Row],[II Muudatus]]</f>
        <v>5996.4</v>
      </c>
    </row>
    <row r="808" spans="1:21" ht="14.25" hidden="1" customHeight="1" x14ac:dyDescent="0.25">
      <c r="A808" s="41" t="s">
        <v>544</v>
      </c>
      <c r="B808" s="41">
        <v>1197</v>
      </c>
      <c r="C808" s="52">
        <v>5005</v>
      </c>
      <c r="D808" s="52" t="str">
        <f>LEFT(Table1[[#This Row],[Eelarvekonto]],2)</f>
        <v>50</v>
      </c>
      <c r="E808" s="41" t="str">
        <f>VLOOKUP(Table1[[#This Row],[Eelarvekonto]],Table5[[Konto]:[Konto nimetus]],2,FALSE)</f>
        <v>Töötasud võlaõiguslike lepingute alusel</v>
      </c>
      <c r="F808" s="41" t="s">
        <v>139</v>
      </c>
      <c r="G808" s="41" t="s">
        <v>24</v>
      </c>
      <c r="J808" s="41" t="s">
        <v>293</v>
      </c>
      <c r="K808" s="41" t="s">
        <v>291</v>
      </c>
      <c r="L808" s="58" t="s">
        <v>292</v>
      </c>
      <c r="M808" s="58" t="str">
        <f>LEFT(Table1[[#This Row],[Tegevusala kood]],2)</f>
        <v>09</v>
      </c>
      <c r="N808" s="41" t="str">
        <f>VLOOKUP(Table1[[#This Row],[Tegevusala kood]],Table4[[Tegevusala kood]:[Tegevusala alanimetus]],2,FALSE)</f>
        <v>Pajusti Lasteaed Pajustis</v>
      </c>
      <c r="O808" s="41" t="s">
        <v>1</v>
      </c>
      <c r="P808" s="41" t="s">
        <v>1</v>
      </c>
      <c r="Q808" s="41" t="str">
        <f>VLOOKUP(Table1[[#This Row],[Eelarvekonto]],Table5[[Konto]:[Kontode alanimetus]],5,FALSE)</f>
        <v>Tööjõukulud</v>
      </c>
      <c r="R808" s="42" t="str">
        <f>VLOOKUP(Table1[[#This Row],[Tegevusala kood]],Table4[[Tegevusala kood]:[Tegevusala alanimetus]],4,FALSE)</f>
        <v>Alusharidus</v>
      </c>
      <c r="S808" s="53"/>
      <c r="T808" s="53"/>
      <c r="U808" s="53">
        <f>Table1[[#This Row],[Summa]]+Table1[[#This Row],[I Muudatus]]+Table1[[#This Row],[II Muudatus]]</f>
        <v>1197</v>
      </c>
    </row>
    <row r="809" spans="1:21" ht="14.25" hidden="1" customHeight="1" x14ac:dyDescent="0.25">
      <c r="A809" s="41" t="s">
        <v>528</v>
      </c>
      <c r="B809" s="41">
        <v>33888</v>
      </c>
      <c r="C809" s="52">
        <v>5002</v>
      </c>
      <c r="D809" s="52" t="str">
        <f>LEFT(Table1[[#This Row],[Eelarvekonto]],2)</f>
        <v>50</v>
      </c>
      <c r="E809" s="41" t="str">
        <f>VLOOKUP(Table1[[#This Row],[Eelarvekonto]],Table5[[Konto]:[Konto nimetus]],2,FALSE)</f>
        <v>Töötajate töötasud</v>
      </c>
      <c r="F809" s="41" t="s">
        <v>139</v>
      </c>
      <c r="G809" s="41" t="s">
        <v>24</v>
      </c>
      <c r="J809" s="41" t="s">
        <v>293</v>
      </c>
      <c r="K809" s="41" t="s">
        <v>291</v>
      </c>
      <c r="L809" s="58" t="s">
        <v>292</v>
      </c>
      <c r="M809" s="58" t="str">
        <f>LEFT(Table1[[#This Row],[Tegevusala kood]],2)</f>
        <v>09</v>
      </c>
      <c r="N809" s="41" t="str">
        <f>VLOOKUP(Table1[[#This Row],[Tegevusala kood]],Table4[[Tegevusala kood]:[Tegevusala alanimetus]],2,FALSE)</f>
        <v>Pajusti Lasteaed Pajustis</v>
      </c>
      <c r="O809" s="41" t="s">
        <v>1</v>
      </c>
      <c r="P809" s="41" t="s">
        <v>1</v>
      </c>
      <c r="Q809" s="41" t="str">
        <f>VLOOKUP(Table1[[#This Row],[Eelarvekonto]],Table5[[Konto]:[Kontode alanimetus]],5,FALSE)</f>
        <v>Tööjõukulud</v>
      </c>
      <c r="R809" s="42" t="str">
        <f>VLOOKUP(Table1[[#This Row],[Tegevusala kood]],Table4[[Tegevusala kood]:[Tegevusala alanimetus]],4,FALSE)</f>
        <v>Alusharidus</v>
      </c>
      <c r="S809" s="53"/>
      <c r="T809" s="53"/>
      <c r="U809" s="53">
        <f>Table1[[#This Row],[Summa]]+Table1[[#This Row],[I Muudatus]]+Table1[[#This Row],[II Muudatus]]</f>
        <v>33888</v>
      </c>
    </row>
    <row r="810" spans="1:21" ht="14.25" hidden="1" customHeight="1" x14ac:dyDescent="0.25">
      <c r="A810" s="41" t="s">
        <v>1158</v>
      </c>
      <c r="B810" s="41">
        <v>221.64</v>
      </c>
      <c r="C810" s="52">
        <v>5511</v>
      </c>
      <c r="D810" s="52" t="str">
        <f>LEFT(Table1[[#This Row],[Eelarvekonto]],2)</f>
        <v>55</v>
      </c>
      <c r="E810" s="41" t="str">
        <f>VLOOKUP(Table1[[#This Row],[Eelarvekonto]],Table5[[Konto]:[Konto nimetus]],2,FALSE)</f>
        <v>Kinnistute, hoonete ja ruumide majandamiskulud</v>
      </c>
      <c r="F810" s="41" t="s">
        <v>139</v>
      </c>
      <c r="G810" s="41" t="s">
        <v>24</v>
      </c>
      <c r="J810" s="41" t="s">
        <v>293</v>
      </c>
      <c r="K810" s="41" t="s">
        <v>291</v>
      </c>
      <c r="L810" s="58" t="s">
        <v>292</v>
      </c>
      <c r="M810" s="58" t="str">
        <f>LEFT(Table1[[#This Row],[Tegevusala kood]],2)</f>
        <v>09</v>
      </c>
      <c r="N810" s="41" t="str">
        <f>VLOOKUP(Table1[[#This Row],[Tegevusala kood]],Table4[[Tegevusala kood]:[Tegevusala alanimetus]],2,FALSE)</f>
        <v>Pajusti Lasteaed Pajustis</v>
      </c>
      <c r="O810" s="41" t="s">
        <v>1</v>
      </c>
      <c r="P810" s="41" t="s">
        <v>1</v>
      </c>
      <c r="Q810" s="41" t="str">
        <f>VLOOKUP(Table1[[#This Row],[Eelarvekonto]],Table5[[Konto]:[Kontode alanimetus]],5,FALSE)</f>
        <v>Majandamiskulud</v>
      </c>
      <c r="R810" s="42" t="str">
        <f>VLOOKUP(Table1[[#This Row],[Tegevusala kood]],Table4[[Tegevusala kood]:[Tegevusala alanimetus]],4,FALSE)</f>
        <v>Alusharidus</v>
      </c>
      <c r="S810" s="53"/>
      <c r="T810" s="53"/>
      <c r="U810" s="53">
        <f>Table1[[#This Row],[Summa]]+Table1[[#This Row],[I Muudatus]]+Table1[[#This Row],[II Muudatus]]</f>
        <v>221.64</v>
      </c>
    </row>
    <row r="811" spans="1:21" ht="14.25" hidden="1" customHeight="1" x14ac:dyDescent="0.25">
      <c r="A811" s="41" t="s">
        <v>1159</v>
      </c>
      <c r="B811" s="41">
        <v>720</v>
      </c>
      <c r="C811" s="52">
        <v>5511</v>
      </c>
      <c r="D811" s="52" t="str">
        <f>LEFT(Table1[[#This Row],[Eelarvekonto]],2)</f>
        <v>55</v>
      </c>
      <c r="E811" s="41" t="str">
        <f>VLOOKUP(Table1[[#This Row],[Eelarvekonto]],Table5[[Konto]:[Konto nimetus]],2,FALSE)</f>
        <v>Kinnistute, hoonete ja ruumide majandamiskulud</v>
      </c>
      <c r="F811" s="41" t="s">
        <v>139</v>
      </c>
      <c r="G811" s="41" t="s">
        <v>24</v>
      </c>
      <c r="J811" s="41" t="s">
        <v>293</v>
      </c>
      <c r="K811" s="41" t="s">
        <v>291</v>
      </c>
      <c r="L811" s="58" t="s">
        <v>292</v>
      </c>
      <c r="M811" s="58" t="str">
        <f>LEFT(Table1[[#This Row],[Tegevusala kood]],2)</f>
        <v>09</v>
      </c>
      <c r="N811" s="41" t="str">
        <f>VLOOKUP(Table1[[#This Row],[Tegevusala kood]],Table4[[Tegevusala kood]:[Tegevusala alanimetus]],2,FALSE)</f>
        <v>Pajusti Lasteaed Pajustis</v>
      </c>
      <c r="O811" s="41" t="s">
        <v>1</v>
      </c>
      <c r="P811" s="41" t="s">
        <v>1</v>
      </c>
      <c r="Q811" s="41" t="str">
        <f>VLOOKUP(Table1[[#This Row],[Eelarvekonto]],Table5[[Konto]:[Kontode alanimetus]],5,FALSE)</f>
        <v>Majandamiskulud</v>
      </c>
      <c r="R811" s="42" t="str">
        <f>VLOOKUP(Table1[[#This Row],[Tegevusala kood]],Table4[[Tegevusala kood]:[Tegevusala alanimetus]],4,FALSE)</f>
        <v>Alusharidus</v>
      </c>
      <c r="S811" s="53"/>
      <c r="T811" s="53"/>
      <c r="U811" s="53">
        <f>Table1[[#This Row],[Summa]]+Table1[[#This Row],[I Muudatus]]+Table1[[#This Row],[II Muudatus]]</f>
        <v>720</v>
      </c>
    </row>
    <row r="812" spans="1:21" ht="14.25" hidden="1" customHeight="1" x14ac:dyDescent="0.25">
      <c r="A812" s="41" t="s">
        <v>287</v>
      </c>
      <c r="B812" s="41">
        <v>660</v>
      </c>
      <c r="C812" s="52">
        <v>5511</v>
      </c>
      <c r="D812" s="52" t="str">
        <f>LEFT(Table1[[#This Row],[Eelarvekonto]],2)</f>
        <v>55</v>
      </c>
      <c r="E812" s="41" t="str">
        <f>VLOOKUP(Table1[[#This Row],[Eelarvekonto]],Table5[[Konto]:[Konto nimetus]],2,FALSE)</f>
        <v>Kinnistute, hoonete ja ruumide majandamiskulud</v>
      </c>
      <c r="F812" s="41" t="s">
        <v>139</v>
      </c>
      <c r="G812" s="41" t="s">
        <v>24</v>
      </c>
      <c r="J812" s="41" t="s">
        <v>293</v>
      </c>
      <c r="K812" s="41" t="s">
        <v>291</v>
      </c>
      <c r="L812" s="58" t="s">
        <v>292</v>
      </c>
      <c r="M812" s="58" t="str">
        <f>LEFT(Table1[[#This Row],[Tegevusala kood]],2)</f>
        <v>09</v>
      </c>
      <c r="N812" s="41" t="str">
        <f>VLOOKUP(Table1[[#This Row],[Tegevusala kood]],Table4[[Tegevusala kood]:[Tegevusala alanimetus]],2,FALSE)</f>
        <v>Pajusti Lasteaed Pajustis</v>
      </c>
      <c r="O812" s="41" t="s">
        <v>1</v>
      </c>
      <c r="P812" s="41" t="s">
        <v>1</v>
      </c>
      <c r="Q812" s="41" t="str">
        <f>VLOOKUP(Table1[[#This Row],[Eelarvekonto]],Table5[[Konto]:[Kontode alanimetus]],5,FALSE)</f>
        <v>Majandamiskulud</v>
      </c>
      <c r="R812" s="42" t="str">
        <f>VLOOKUP(Table1[[#This Row],[Tegevusala kood]],Table4[[Tegevusala kood]:[Tegevusala alanimetus]],4,FALSE)</f>
        <v>Alusharidus</v>
      </c>
      <c r="S812" s="53"/>
      <c r="T812" s="53"/>
      <c r="U812" s="53">
        <f>Table1[[#This Row],[Summa]]+Table1[[#This Row],[I Muudatus]]+Table1[[#This Row],[II Muudatus]]</f>
        <v>660</v>
      </c>
    </row>
    <row r="813" spans="1:21" ht="14.25" hidden="1" customHeight="1" x14ac:dyDescent="0.25">
      <c r="A813" s="41" t="s">
        <v>307</v>
      </c>
      <c r="B813" s="41">
        <v>425</v>
      </c>
      <c r="C813" s="52">
        <v>5514</v>
      </c>
      <c r="D813" s="52" t="str">
        <f>LEFT(Table1[[#This Row],[Eelarvekonto]],2)</f>
        <v>55</v>
      </c>
      <c r="E813" s="41" t="str">
        <f>VLOOKUP(Table1[[#This Row],[Eelarvekonto]],Table5[[Konto]:[Konto nimetus]],2,FALSE)</f>
        <v>Info- ja kommunikatsioonitehnoloogia kulud</v>
      </c>
      <c r="F813" s="41" t="s">
        <v>139</v>
      </c>
      <c r="G813" s="41" t="s">
        <v>24</v>
      </c>
      <c r="J813" s="41" t="s">
        <v>293</v>
      </c>
      <c r="K813" s="41" t="s">
        <v>291</v>
      </c>
      <c r="L813" s="58" t="s">
        <v>292</v>
      </c>
      <c r="M813" s="58" t="str">
        <f>LEFT(Table1[[#This Row],[Tegevusala kood]],2)</f>
        <v>09</v>
      </c>
      <c r="N813" s="41" t="str">
        <f>VLOOKUP(Table1[[#This Row],[Tegevusala kood]],Table4[[Tegevusala kood]:[Tegevusala alanimetus]],2,FALSE)</f>
        <v>Pajusti Lasteaed Pajustis</v>
      </c>
      <c r="O813" s="41" t="s">
        <v>1</v>
      </c>
      <c r="P813" s="41" t="s">
        <v>1</v>
      </c>
      <c r="Q813" s="41" t="str">
        <f>VLOOKUP(Table1[[#This Row],[Eelarvekonto]],Table5[[Konto]:[Kontode alanimetus]],5,FALSE)</f>
        <v>Majandamiskulud</v>
      </c>
      <c r="R813" s="42" t="str">
        <f>VLOOKUP(Table1[[#This Row],[Tegevusala kood]],Table4[[Tegevusala kood]:[Tegevusala alanimetus]],4,FALSE)</f>
        <v>Alusharidus</v>
      </c>
      <c r="S813" s="53"/>
      <c r="T813" s="53"/>
      <c r="U813" s="53">
        <f>Table1[[#This Row],[Summa]]+Table1[[#This Row],[I Muudatus]]+Table1[[#This Row],[II Muudatus]]</f>
        <v>425</v>
      </c>
    </row>
    <row r="814" spans="1:21" ht="14.25" hidden="1" customHeight="1" x14ac:dyDescent="0.25">
      <c r="A814" s="41" t="s">
        <v>484</v>
      </c>
      <c r="B814" s="41">
        <v>135</v>
      </c>
      <c r="C814" s="52">
        <v>5511</v>
      </c>
      <c r="D814" s="52" t="str">
        <f>LEFT(Table1[[#This Row],[Eelarvekonto]],2)</f>
        <v>55</v>
      </c>
      <c r="E814" s="41" t="str">
        <f>VLOOKUP(Table1[[#This Row],[Eelarvekonto]],Table5[[Konto]:[Konto nimetus]],2,FALSE)</f>
        <v>Kinnistute, hoonete ja ruumide majandamiskulud</v>
      </c>
      <c r="F814" s="41" t="s">
        <v>139</v>
      </c>
      <c r="G814" s="41" t="s">
        <v>24</v>
      </c>
      <c r="J814" s="41" t="s">
        <v>293</v>
      </c>
      <c r="K814" s="41" t="s">
        <v>291</v>
      </c>
      <c r="L814" s="58" t="s">
        <v>292</v>
      </c>
      <c r="M814" s="58" t="str">
        <f>LEFT(Table1[[#This Row],[Tegevusala kood]],2)</f>
        <v>09</v>
      </c>
      <c r="N814" s="41" t="str">
        <f>VLOOKUP(Table1[[#This Row],[Tegevusala kood]],Table4[[Tegevusala kood]:[Tegevusala alanimetus]],2,FALSE)</f>
        <v>Pajusti Lasteaed Pajustis</v>
      </c>
      <c r="O814" s="41" t="s">
        <v>1</v>
      </c>
      <c r="P814" s="41" t="s">
        <v>1</v>
      </c>
      <c r="Q814" s="41" t="str">
        <f>VLOOKUP(Table1[[#This Row],[Eelarvekonto]],Table5[[Konto]:[Kontode alanimetus]],5,FALSE)</f>
        <v>Majandamiskulud</v>
      </c>
      <c r="R814" s="42" t="str">
        <f>VLOOKUP(Table1[[#This Row],[Tegevusala kood]],Table4[[Tegevusala kood]:[Tegevusala alanimetus]],4,FALSE)</f>
        <v>Alusharidus</v>
      </c>
      <c r="S814" s="53"/>
      <c r="T814" s="53"/>
      <c r="U814" s="53">
        <f>Table1[[#This Row],[Summa]]+Table1[[#This Row],[I Muudatus]]+Table1[[#This Row],[II Muudatus]]</f>
        <v>135</v>
      </c>
    </row>
    <row r="815" spans="1:21" ht="14.25" hidden="1" customHeight="1" x14ac:dyDescent="0.25">
      <c r="A815" s="41" t="s">
        <v>148</v>
      </c>
      <c r="B815" s="41">
        <v>6480</v>
      </c>
      <c r="C815" s="52">
        <v>551100</v>
      </c>
      <c r="D815" s="52" t="str">
        <f>LEFT(Table1[[#This Row],[Eelarvekonto]],2)</f>
        <v>55</v>
      </c>
      <c r="E815" s="41" t="str">
        <f>VLOOKUP(Table1[[#This Row],[Eelarvekonto]],Table5[[Konto]:[Konto nimetus]],2,FALSE)</f>
        <v>Küte ja soojusenergia</v>
      </c>
      <c r="F815" s="41" t="s">
        <v>139</v>
      </c>
      <c r="G815" s="41" t="s">
        <v>24</v>
      </c>
      <c r="J815" s="41" t="s">
        <v>293</v>
      </c>
      <c r="K815" s="41" t="s">
        <v>291</v>
      </c>
      <c r="L815" s="58" t="s">
        <v>292</v>
      </c>
      <c r="M815" s="58" t="str">
        <f>LEFT(Table1[[#This Row],[Tegevusala kood]],2)</f>
        <v>09</v>
      </c>
      <c r="N815" s="41" t="str">
        <f>VLOOKUP(Table1[[#This Row],[Tegevusala kood]],Table4[[Tegevusala kood]:[Tegevusala alanimetus]],2,FALSE)</f>
        <v>Pajusti Lasteaed Pajustis</v>
      </c>
      <c r="O815" s="41" t="s">
        <v>1</v>
      </c>
      <c r="P815" s="41" t="s">
        <v>1</v>
      </c>
      <c r="Q815" s="41" t="str">
        <f>VLOOKUP(Table1[[#This Row],[Eelarvekonto]],Table5[[Konto]:[Kontode alanimetus]],5,FALSE)</f>
        <v>Majandamiskulud</v>
      </c>
      <c r="R815" s="42" t="str">
        <f>VLOOKUP(Table1[[#This Row],[Tegevusala kood]],Table4[[Tegevusala kood]:[Tegevusala alanimetus]],4,FALSE)</f>
        <v>Alusharidus</v>
      </c>
      <c r="S815" s="53"/>
      <c r="T815" s="53"/>
      <c r="U815" s="53">
        <f>Table1[[#This Row],[Summa]]+Table1[[#This Row],[I Muudatus]]+Table1[[#This Row],[II Muudatus]]</f>
        <v>6480</v>
      </c>
    </row>
    <row r="816" spans="1:21" ht="14.25" hidden="1" customHeight="1" x14ac:dyDescent="0.25">
      <c r="A816" s="41" t="s">
        <v>171</v>
      </c>
      <c r="B816" s="41">
        <v>46.2</v>
      </c>
      <c r="C816" s="52">
        <v>5511</v>
      </c>
      <c r="D816" s="52" t="str">
        <f>LEFT(Table1[[#This Row],[Eelarvekonto]],2)</f>
        <v>55</v>
      </c>
      <c r="E816" s="41" t="str">
        <f>VLOOKUP(Table1[[#This Row],[Eelarvekonto]],Table5[[Konto]:[Konto nimetus]],2,FALSE)</f>
        <v>Kinnistute, hoonete ja ruumide majandamiskulud</v>
      </c>
      <c r="F816" s="41" t="s">
        <v>139</v>
      </c>
      <c r="G816" s="41" t="s">
        <v>24</v>
      </c>
      <c r="J816" s="41" t="s">
        <v>293</v>
      </c>
      <c r="K816" s="41" t="s">
        <v>291</v>
      </c>
      <c r="L816" s="58" t="s">
        <v>292</v>
      </c>
      <c r="M816" s="58" t="str">
        <f>LEFT(Table1[[#This Row],[Tegevusala kood]],2)</f>
        <v>09</v>
      </c>
      <c r="N816" s="41" t="str">
        <f>VLOOKUP(Table1[[#This Row],[Tegevusala kood]],Table4[[Tegevusala kood]:[Tegevusala alanimetus]],2,FALSE)</f>
        <v>Pajusti Lasteaed Pajustis</v>
      </c>
      <c r="O816" s="41" t="s">
        <v>1</v>
      </c>
      <c r="P816" s="41" t="s">
        <v>1</v>
      </c>
      <c r="Q816" s="41" t="str">
        <f>VLOOKUP(Table1[[#This Row],[Eelarvekonto]],Table5[[Konto]:[Kontode alanimetus]],5,FALSE)</f>
        <v>Majandamiskulud</v>
      </c>
      <c r="R816" s="42" t="str">
        <f>VLOOKUP(Table1[[#This Row],[Tegevusala kood]],Table4[[Tegevusala kood]:[Tegevusala alanimetus]],4,FALSE)</f>
        <v>Alusharidus</v>
      </c>
      <c r="S816" s="53"/>
      <c r="T816" s="53"/>
      <c r="U816" s="53">
        <f>Table1[[#This Row],[Summa]]+Table1[[#This Row],[I Muudatus]]+Table1[[#This Row],[II Muudatus]]</f>
        <v>46.2</v>
      </c>
    </row>
    <row r="817" spans="1:21" ht="14.25" hidden="1" customHeight="1" x14ac:dyDescent="0.25">
      <c r="A817" s="41" t="s">
        <v>149</v>
      </c>
      <c r="B817" s="41">
        <v>2520</v>
      </c>
      <c r="C817" s="52">
        <v>551101</v>
      </c>
      <c r="D817" s="52" t="str">
        <f>LEFT(Table1[[#This Row],[Eelarvekonto]],2)</f>
        <v>55</v>
      </c>
      <c r="E817" s="41" t="str">
        <f>VLOOKUP(Table1[[#This Row],[Eelarvekonto]],Table5[[Konto]:[Konto nimetus]],2,FALSE)</f>
        <v>Elekter</v>
      </c>
      <c r="F817" s="41" t="s">
        <v>139</v>
      </c>
      <c r="G817" s="41" t="s">
        <v>24</v>
      </c>
      <c r="J817" s="41" t="s">
        <v>293</v>
      </c>
      <c r="K817" s="41" t="s">
        <v>291</v>
      </c>
      <c r="L817" s="58" t="s">
        <v>292</v>
      </c>
      <c r="M817" s="58" t="str">
        <f>LEFT(Table1[[#This Row],[Tegevusala kood]],2)</f>
        <v>09</v>
      </c>
      <c r="N817" s="41" t="str">
        <f>VLOOKUP(Table1[[#This Row],[Tegevusala kood]],Table4[[Tegevusala kood]:[Tegevusala alanimetus]],2,FALSE)</f>
        <v>Pajusti Lasteaed Pajustis</v>
      </c>
      <c r="O817" s="41" t="s">
        <v>1</v>
      </c>
      <c r="P817" s="41" t="s">
        <v>1</v>
      </c>
      <c r="Q817" s="41" t="str">
        <f>VLOOKUP(Table1[[#This Row],[Eelarvekonto]],Table5[[Konto]:[Kontode alanimetus]],5,FALSE)</f>
        <v>Majandamiskulud</v>
      </c>
      <c r="R817" s="42" t="str">
        <f>VLOOKUP(Table1[[#This Row],[Tegevusala kood]],Table4[[Tegevusala kood]:[Tegevusala alanimetus]],4,FALSE)</f>
        <v>Alusharidus</v>
      </c>
      <c r="S817" s="53"/>
      <c r="T817" s="53"/>
      <c r="U817" s="53">
        <f>Table1[[#This Row],[Summa]]+Table1[[#This Row],[I Muudatus]]+Table1[[#This Row],[II Muudatus]]</f>
        <v>2520</v>
      </c>
    </row>
    <row r="818" spans="1:21" ht="14.25" customHeight="1" x14ac:dyDescent="0.25">
      <c r="A818" s="41" t="s">
        <v>1542</v>
      </c>
      <c r="B818" s="41">
        <v>80000</v>
      </c>
      <c r="C818" s="52">
        <v>1551</v>
      </c>
      <c r="D818" s="52" t="str">
        <f>LEFT(Table1[[#This Row],[Eelarvekonto]],2)</f>
        <v>15</v>
      </c>
      <c r="E818" s="41" t="str">
        <f>VLOOKUP(Table1[[#This Row],[Eelarvekonto]],Table5[[Konto]:[Konto nimetus]],2,FALSE)</f>
        <v>Hooned ja rajatised</v>
      </c>
      <c r="F818" s="41" t="s">
        <v>956</v>
      </c>
      <c r="G818" s="41" t="s">
        <v>891</v>
      </c>
      <c r="J818" s="41" t="s">
        <v>726</v>
      </c>
      <c r="K818" s="41" t="s">
        <v>703</v>
      </c>
      <c r="L818" s="58" t="s">
        <v>292</v>
      </c>
      <c r="M818" s="58" t="str">
        <f>LEFT(Table1[[#This Row],[Tegevusala kood]],2)</f>
        <v>09</v>
      </c>
      <c r="N818" s="41" t="str">
        <f>VLOOKUP(Table1[[#This Row],[Tegevusala kood]],Table4[[Tegevusala kood]:[Tegevusala alanimetus]],2,FALSE)</f>
        <v>Pajusti Lasteaed Pajustis</v>
      </c>
      <c r="O818" s="41" t="s">
        <v>1</v>
      </c>
      <c r="P818" s="41" t="s">
        <v>1</v>
      </c>
      <c r="Q818" s="41" t="str">
        <f>VLOOKUP(Table1[[#This Row],[Eelarvekonto]],Table5[[Konto]:[Kontode alanimetus]],5,FALSE)</f>
        <v>Põhivara soetus (-)</v>
      </c>
      <c r="R818" s="42" t="str">
        <f>VLOOKUP(Table1[[#This Row],[Tegevusala kood]],Table4[[Tegevusala kood]:[Tegevusala alanimetus]],4,FALSE)</f>
        <v>Alusharidus</v>
      </c>
      <c r="S818" s="53"/>
      <c r="T818" s="53"/>
      <c r="U818" s="53">
        <f>Table1[[#This Row],[Summa]]+Table1[[#This Row],[I Muudatus]]+Table1[[#This Row],[II Muudatus]]</f>
        <v>80000</v>
      </c>
    </row>
    <row r="819" spans="1:21" ht="14.25" hidden="1" customHeight="1" x14ac:dyDescent="0.25">
      <c r="A819" s="41" t="s">
        <v>197</v>
      </c>
      <c r="B819" s="41">
        <v>352</v>
      </c>
      <c r="C819" s="52">
        <v>5513081</v>
      </c>
      <c r="D819" s="52" t="str">
        <f>LEFT(Table1[[#This Row],[Eelarvekonto]],2)</f>
        <v>55</v>
      </c>
      <c r="E819" s="41" t="str">
        <f>VLOOKUP(Table1[[#This Row],[Eelarvekonto]],Table5[[Konto]:[Konto nimetus]],2,FALSE)</f>
        <v>Isikliku sõiduauto kompensatsioon</v>
      </c>
      <c r="F819" s="41" t="s">
        <v>139</v>
      </c>
      <c r="G819" s="41" t="s">
        <v>24</v>
      </c>
      <c r="J819" s="41" t="s">
        <v>264</v>
      </c>
      <c r="K819" s="41" t="s">
        <v>263</v>
      </c>
      <c r="L819" s="58" t="s">
        <v>262</v>
      </c>
      <c r="M819" s="58" t="str">
        <f>LEFT(Table1[[#This Row],[Tegevusala kood]],2)</f>
        <v>09</v>
      </c>
      <c r="N819" s="41" t="str">
        <f>VLOOKUP(Table1[[#This Row],[Tegevusala kood]],Table4[[Tegevusala kood]:[Tegevusala alanimetus]],2,FALSE)</f>
        <v>Roela Õpilaskodu</v>
      </c>
      <c r="O819" s="41" t="s">
        <v>1</v>
      </c>
      <c r="P819" s="41" t="s">
        <v>1</v>
      </c>
      <c r="Q819" s="41" t="str">
        <f>VLOOKUP(Table1[[#This Row],[Eelarvekonto]],Table5[[Konto]:[Kontode alanimetus]],5,FALSE)</f>
        <v>Majandamiskulud</v>
      </c>
      <c r="R819" s="42" t="str">
        <f>VLOOKUP(Table1[[#This Row],[Tegevusala kood]],Table4[[Tegevusala kood]:[Tegevusala alanimetus]],4,FALSE)</f>
        <v>Öömaja</v>
      </c>
      <c r="S819" s="53"/>
      <c r="T819" s="53"/>
      <c r="U819" s="53">
        <f>Table1[[#This Row],[Summa]]+Table1[[#This Row],[I Muudatus]]+Table1[[#This Row],[II Muudatus]]</f>
        <v>352</v>
      </c>
    </row>
    <row r="820" spans="1:21" ht="14.25" hidden="1" customHeight="1" x14ac:dyDescent="0.25">
      <c r="A820" s="41" t="s">
        <v>158</v>
      </c>
      <c r="B820" s="41">
        <v>7706.4</v>
      </c>
      <c r="C820" s="52">
        <v>506</v>
      </c>
      <c r="D820" s="52" t="str">
        <f>LEFT(Table1[[#This Row],[Eelarvekonto]],2)</f>
        <v>50</v>
      </c>
      <c r="E820" s="41" t="str">
        <f>VLOOKUP(Table1[[#This Row],[Eelarvekonto]],Table5[[Konto]:[Konto nimetus]],2,FALSE)</f>
        <v>Tööjõukuludega kaasnevad maksud ja sotsiaalkindlustusmaksed</v>
      </c>
      <c r="F820" s="41" t="s">
        <v>139</v>
      </c>
      <c r="G820" s="41" t="s">
        <v>24</v>
      </c>
      <c r="J820" s="41" t="s">
        <v>264</v>
      </c>
      <c r="K820" s="41" t="s">
        <v>263</v>
      </c>
      <c r="L820" s="58" t="s">
        <v>262</v>
      </c>
      <c r="M820" s="58" t="str">
        <f>LEFT(Table1[[#This Row],[Tegevusala kood]],2)</f>
        <v>09</v>
      </c>
      <c r="N820" s="41" t="str">
        <f>VLOOKUP(Table1[[#This Row],[Tegevusala kood]],Table4[[Tegevusala kood]:[Tegevusala alanimetus]],2,FALSE)</f>
        <v>Roela Õpilaskodu</v>
      </c>
      <c r="O820" s="41" t="s">
        <v>1</v>
      </c>
      <c r="P820" s="41" t="s">
        <v>1</v>
      </c>
      <c r="Q820" s="41" t="str">
        <f>VLOOKUP(Table1[[#This Row],[Eelarvekonto]],Table5[[Konto]:[Kontode alanimetus]],5,FALSE)</f>
        <v>Tööjõukulud</v>
      </c>
      <c r="R820" s="42" t="str">
        <f>VLOOKUP(Table1[[#This Row],[Tegevusala kood]],Table4[[Tegevusala kood]:[Tegevusala alanimetus]],4,FALSE)</f>
        <v>Öömaja</v>
      </c>
      <c r="S820" s="53"/>
      <c r="T820" s="53"/>
      <c r="U820" s="53">
        <f>Table1[[#This Row],[Summa]]+Table1[[#This Row],[I Muudatus]]+Table1[[#This Row],[II Muudatus]]</f>
        <v>7706.4</v>
      </c>
    </row>
    <row r="821" spans="1:21" ht="14.25" hidden="1" customHeight="1" x14ac:dyDescent="0.25">
      <c r="A821" s="41" t="s">
        <v>1534</v>
      </c>
      <c r="B821" s="41">
        <v>10620</v>
      </c>
      <c r="C821" s="52">
        <v>5002</v>
      </c>
      <c r="D821" s="52" t="str">
        <f>LEFT(Table1[[#This Row],[Eelarvekonto]],2)</f>
        <v>50</v>
      </c>
      <c r="E821" s="41" t="str">
        <f>VLOOKUP(Table1[[#This Row],[Eelarvekonto]],Table5[[Konto]:[Konto nimetus]],2,FALSE)</f>
        <v>Töötajate töötasud</v>
      </c>
      <c r="F821" s="41" t="s">
        <v>139</v>
      </c>
      <c r="G821" s="41" t="s">
        <v>24</v>
      </c>
      <c r="J821" s="41" t="s">
        <v>264</v>
      </c>
      <c r="K821" s="41" t="s">
        <v>263</v>
      </c>
      <c r="L821" s="58" t="s">
        <v>262</v>
      </c>
      <c r="M821" s="58" t="str">
        <f>LEFT(Table1[[#This Row],[Tegevusala kood]],2)</f>
        <v>09</v>
      </c>
      <c r="N821" s="41" t="str">
        <f>VLOOKUP(Table1[[#This Row],[Tegevusala kood]],Table4[[Tegevusala kood]:[Tegevusala alanimetus]],2,FALSE)</f>
        <v>Roela Õpilaskodu</v>
      </c>
      <c r="O821" s="41" t="s">
        <v>1</v>
      </c>
      <c r="P821" s="41" t="s">
        <v>1</v>
      </c>
      <c r="Q821" s="41" t="str">
        <f>VLOOKUP(Table1[[#This Row],[Eelarvekonto]],Table5[[Konto]:[Kontode alanimetus]],5,FALSE)</f>
        <v>Tööjõukulud</v>
      </c>
      <c r="R821" s="42" t="str">
        <f>VLOOKUP(Table1[[#This Row],[Tegevusala kood]],Table4[[Tegevusala kood]:[Tegevusala alanimetus]],4,FALSE)</f>
        <v>Öömaja</v>
      </c>
      <c r="S821" s="53"/>
      <c r="T821" s="53"/>
      <c r="U821" s="53">
        <f>Table1[[#This Row],[Summa]]+Table1[[#This Row],[I Muudatus]]+Table1[[#This Row],[II Muudatus]]</f>
        <v>10620</v>
      </c>
    </row>
    <row r="822" spans="1:21" ht="14.25" hidden="1" customHeight="1" x14ac:dyDescent="0.25">
      <c r="A822" s="41" t="s">
        <v>1531</v>
      </c>
      <c r="B822" s="41">
        <v>12180</v>
      </c>
      <c r="C822" s="52">
        <v>5002</v>
      </c>
      <c r="D822" s="52" t="str">
        <f>LEFT(Table1[[#This Row],[Eelarvekonto]],2)</f>
        <v>50</v>
      </c>
      <c r="E822" s="41" t="str">
        <f>VLOOKUP(Table1[[#This Row],[Eelarvekonto]],Table5[[Konto]:[Konto nimetus]],2,FALSE)</f>
        <v>Töötajate töötasud</v>
      </c>
      <c r="F822" s="41" t="s">
        <v>139</v>
      </c>
      <c r="G822" s="41" t="s">
        <v>24</v>
      </c>
      <c r="J822" s="41" t="s">
        <v>264</v>
      </c>
      <c r="K822" s="41" t="s">
        <v>263</v>
      </c>
      <c r="L822" s="58" t="s">
        <v>262</v>
      </c>
      <c r="M822" s="58" t="str">
        <f>LEFT(Table1[[#This Row],[Tegevusala kood]],2)</f>
        <v>09</v>
      </c>
      <c r="N822" s="41" t="str">
        <f>VLOOKUP(Table1[[#This Row],[Tegevusala kood]],Table4[[Tegevusala kood]:[Tegevusala alanimetus]],2,FALSE)</f>
        <v>Roela Õpilaskodu</v>
      </c>
      <c r="O822" s="41" t="s">
        <v>1</v>
      </c>
      <c r="P822" s="41" t="s">
        <v>1</v>
      </c>
      <c r="Q822" s="41" t="str">
        <f>VLOOKUP(Table1[[#This Row],[Eelarvekonto]],Table5[[Konto]:[Kontode alanimetus]],5,FALSE)</f>
        <v>Tööjõukulud</v>
      </c>
      <c r="R822" s="42" t="str">
        <f>VLOOKUP(Table1[[#This Row],[Tegevusala kood]],Table4[[Tegevusala kood]:[Tegevusala alanimetus]],4,FALSE)</f>
        <v>Öömaja</v>
      </c>
      <c r="S822" s="53"/>
      <c r="T822" s="53"/>
      <c r="U822" s="53">
        <f>Table1[[#This Row],[Summa]]+Table1[[#This Row],[I Muudatus]]+Table1[[#This Row],[II Muudatus]]</f>
        <v>12180</v>
      </c>
    </row>
    <row r="823" spans="1:21" ht="14.25" hidden="1" customHeight="1" x14ac:dyDescent="0.25">
      <c r="A823" s="41" t="s">
        <v>530</v>
      </c>
      <c r="B823" s="41">
        <v>3600</v>
      </c>
      <c r="C823" s="52">
        <v>5511</v>
      </c>
      <c r="D823" s="52" t="str">
        <f>LEFT(Table1[[#This Row],[Eelarvekonto]],2)</f>
        <v>55</v>
      </c>
      <c r="E823" s="41" t="str">
        <f>VLOOKUP(Table1[[#This Row],[Eelarvekonto]],Table5[[Konto]:[Konto nimetus]],2,FALSE)</f>
        <v>Kinnistute, hoonete ja ruumide majandamiskulud</v>
      </c>
      <c r="F823" s="41" t="s">
        <v>139</v>
      </c>
      <c r="G823" s="41" t="s">
        <v>24</v>
      </c>
      <c r="J823" s="41" t="s">
        <v>264</v>
      </c>
      <c r="K823" s="41" t="s">
        <v>263</v>
      </c>
      <c r="L823" s="58" t="s">
        <v>262</v>
      </c>
      <c r="M823" s="58" t="str">
        <f>LEFT(Table1[[#This Row],[Tegevusala kood]],2)</f>
        <v>09</v>
      </c>
      <c r="N823" s="41" t="str">
        <f>VLOOKUP(Table1[[#This Row],[Tegevusala kood]],Table4[[Tegevusala kood]:[Tegevusala alanimetus]],2,FALSE)</f>
        <v>Roela Õpilaskodu</v>
      </c>
      <c r="O823" s="41" t="s">
        <v>1</v>
      </c>
      <c r="P823" s="41" t="s">
        <v>1</v>
      </c>
      <c r="Q823" s="41" t="str">
        <f>VLOOKUP(Table1[[#This Row],[Eelarvekonto]],Table5[[Konto]:[Kontode alanimetus]],5,FALSE)</f>
        <v>Majandamiskulud</v>
      </c>
      <c r="R823" s="42" t="str">
        <f>VLOOKUP(Table1[[#This Row],[Tegevusala kood]],Table4[[Tegevusala kood]:[Tegevusala alanimetus]],4,FALSE)</f>
        <v>Öömaja</v>
      </c>
      <c r="S823" s="53"/>
      <c r="T823" s="53"/>
      <c r="U823" s="53">
        <f>Table1[[#This Row],[Summa]]+Table1[[#This Row],[I Muudatus]]+Table1[[#This Row],[II Muudatus]]</f>
        <v>3600</v>
      </c>
    </row>
    <row r="824" spans="1:21" ht="14.25" hidden="1" customHeight="1" x14ac:dyDescent="0.25">
      <c r="A824" s="41" t="s">
        <v>149</v>
      </c>
      <c r="B824" s="41">
        <v>1500</v>
      </c>
      <c r="C824" s="52">
        <v>551101</v>
      </c>
      <c r="D824" s="52" t="str">
        <f>LEFT(Table1[[#This Row],[Eelarvekonto]],2)</f>
        <v>55</v>
      </c>
      <c r="E824" s="41" t="str">
        <f>VLOOKUP(Table1[[#This Row],[Eelarvekonto]],Table5[[Konto]:[Konto nimetus]],2,FALSE)</f>
        <v>Elekter</v>
      </c>
      <c r="F824" s="41" t="s">
        <v>139</v>
      </c>
      <c r="G824" s="41" t="s">
        <v>24</v>
      </c>
      <c r="J824" s="41" t="s">
        <v>264</v>
      </c>
      <c r="K824" s="41" t="s">
        <v>263</v>
      </c>
      <c r="L824" s="58" t="s">
        <v>262</v>
      </c>
      <c r="M824" s="58" t="str">
        <f>LEFT(Table1[[#This Row],[Tegevusala kood]],2)</f>
        <v>09</v>
      </c>
      <c r="N824" s="41" t="str">
        <f>VLOOKUP(Table1[[#This Row],[Tegevusala kood]],Table4[[Tegevusala kood]:[Tegevusala alanimetus]],2,FALSE)</f>
        <v>Roela Õpilaskodu</v>
      </c>
      <c r="O824" s="41" t="s">
        <v>1</v>
      </c>
      <c r="P824" s="41" t="s">
        <v>1</v>
      </c>
      <c r="Q824" s="41" t="str">
        <f>VLOOKUP(Table1[[#This Row],[Eelarvekonto]],Table5[[Konto]:[Kontode alanimetus]],5,FALSE)</f>
        <v>Majandamiskulud</v>
      </c>
      <c r="R824" s="42" t="str">
        <f>VLOOKUP(Table1[[#This Row],[Tegevusala kood]],Table4[[Tegevusala kood]:[Tegevusala alanimetus]],4,FALSE)</f>
        <v>Öömaja</v>
      </c>
      <c r="S824" s="53"/>
      <c r="T824" s="53"/>
      <c r="U824" s="53">
        <f>Table1[[#This Row],[Summa]]+Table1[[#This Row],[I Muudatus]]+Table1[[#This Row],[II Muudatus]]</f>
        <v>1500</v>
      </c>
    </row>
    <row r="825" spans="1:21" ht="14.25" hidden="1" customHeight="1" x14ac:dyDescent="0.25">
      <c r="A825" s="41" t="s">
        <v>486</v>
      </c>
      <c r="B825" s="41">
        <v>240</v>
      </c>
      <c r="C825" s="52">
        <v>5511</v>
      </c>
      <c r="D825" s="52" t="str">
        <f>LEFT(Table1[[#This Row],[Eelarvekonto]],2)</f>
        <v>55</v>
      </c>
      <c r="E825" s="41" t="str">
        <f>VLOOKUP(Table1[[#This Row],[Eelarvekonto]],Table5[[Konto]:[Konto nimetus]],2,FALSE)</f>
        <v>Kinnistute, hoonete ja ruumide majandamiskulud</v>
      </c>
      <c r="F825" s="41" t="s">
        <v>139</v>
      </c>
      <c r="G825" s="41" t="s">
        <v>24</v>
      </c>
      <c r="J825" s="41" t="s">
        <v>264</v>
      </c>
      <c r="K825" s="41" t="s">
        <v>263</v>
      </c>
      <c r="L825" s="58" t="s">
        <v>262</v>
      </c>
      <c r="M825" s="58" t="str">
        <f>LEFT(Table1[[#This Row],[Tegevusala kood]],2)</f>
        <v>09</v>
      </c>
      <c r="N825" s="41" t="str">
        <f>VLOOKUP(Table1[[#This Row],[Tegevusala kood]],Table4[[Tegevusala kood]:[Tegevusala alanimetus]],2,FALSE)</f>
        <v>Roela Õpilaskodu</v>
      </c>
      <c r="O825" s="41" t="s">
        <v>1</v>
      </c>
      <c r="P825" s="41" t="s">
        <v>1</v>
      </c>
      <c r="Q825" s="41" t="str">
        <f>VLOOKUP(Table1[[#This Row],[Eelarvekonto]],Table5[[Konto]:[Kontode alanimetus]],5,FALSE)</f>
        <v>Majandamiskulud</v>
      </c>
      <c r="R825" s="42" t="str">
        <f>VLOOKUP(Table1[[#This Row],[Tegevusala kood]],Table4[[Tegevusala kood]:[Tegevusala alanimetus]],4,FALSE)</f>
        <v>Öömaja</v>
      </c>
      <c r="S825" s="53"/>
      <c r="T825" s="53"/>
      <c r="U825" s="53">
        <f>Table1[[#This Row],[Summa]]+Table1[[#This Row],[I Muudatus]]+Table1[[#This Row],[II Muudatus]]</f>
        <v>240</v>
      </c>
    </row>
    <row r="826" spans="1:21" ht="14.25" hidden="1" customHeight="1" x14ac:dyDescent="0.25">
      <c r="A826" s="41" t="s">
        <v>312</v>
      </c>
      <c r="B826" s="41">
        <v>834</v>
      </c>
      <c r="C826" s="52">
        <v>5514</v>
      </c>
      <c r="D826" s="52" t="str">
        <f>LEFT(Table1[[#This Row],[Eelarvekonto]],2)</f>
        <v>55</v>
      </c>
      <c r="E826" s="41" t="str">
        <f>VLOOKUP(Table1[[#This Row],[Eelarvekonto]],Table5[[Konto]:[Konto nimetus]],2,FALSE)</f>
        <v>Info- ja kommunikatsioonitehnoloogia kulud</v>
      </c>
      <c r="F826" s="41" t="s">
        <v>139</v>
      </c>
      <c r="G826" s="41" t="s">
        <v>24</v>
      </c>
      <c r="J826" s="41" t="s">
        <v>427</v>
      </c>
      <c r="K826" s="41" t="s">
        <v>426</v>
      </c>
      <c r="L826" s="58" t="s">
        <v>425</v>
      </c>
      <c r="M826" s="58" t="str">
        <f>LEFT(Table1[[#This Row],[Tegevusala kood]],2)</f>
        <v>04</v>
      </c>
      <c r="N826" s="41" t="str">
        <f>VLOOKUP(Table1[[#This Row],[Tegevusala kood]],Table4[[Tegevusala kood]:[Tegevusala alanimetus]],2,FALSE)</f>
        <v>Side</v>
      </c>
      <c r="O826" s="41" t="s">
        <v>1</v>
      </c>
      <c r="P826" s="41" t="s">
        <v>1</v>
      </c>
      <c r="Q826" s="41" t="str">
        <f>VLOOKUP(Table1[[#This Row],[Eelarvekonto]],Table5[[Konto]:[Kontode alanimetus]],5,FALSE)</f>
        <v>Majandamiskulud</v>
      </c>
      <c r="R826" s="42" t="str">
        <f>VLOOKUP(Table1[[#This Row],[Tegevusala kood]],Table4[[Tegevusala kood]:[Tegevusala alanimetus]],4,FALSE)</f>
        <v>Side</v>
      </c>
      <c r="S826" s="53"/>
      <c r="T826" s="53"/>
      <c r="U826" s="53">
        <f>Table1[[#This Row],[Summa]]+Table1[[#This Row],[I Muudatus]]+Table1[[#This Row],[II Muudatus]]</f>
        <v>834</v>
      </c>
    </row>
    <row r="827" spans="1:21" ht="14.25" hidden="1" customHeight="1" x14ac:dyDescent="0.25">
      <c r="A827" s="41" t="s">
        <v>731</v>
      </c>
      <c r="B827" s="41">
        <v>835.2</v>
      </c>
      <c r="C827" s="52">
        <v>5514</v>
      </c>
      <c r="D827" s="52" t="str">
        <f>LEFT(Table1[[#This Row],[Eelarvekonto]],2)</f>
        <v>55</v>
      </c>
      <c r="E827" s="41" t="str">
        <f>VLOOKUP(Table1[[#This Row],[Eelarvekonto]],Table5[[Konto]:[Konto nimetus]],2,FALSE)</f>
        <v>Info- ja kommunikatsioonitehnoloogia kulud</v>
      </c>
      <c r="F827" s="41" t="s">
        <v>139</v>
      </c>
      <c r="G827" s="41" t="s">
        <v>24</v>
      </c>
      <c r="J827" s="41" t="s">
        <v>427</v>
      </c>
      <c r="K827" s="41" t="s">
        <v>426</v>
      </c>
      <c r="L827" s="58" t="s">
        <v>425</v>
      </c>
      <c r="M827" s="58" t="str">
        <f>LEFT(Table1[[#This Row],[Tegevusala kood]],2)</f>
        <v>04</v>
      </c>
      <c r="N827" s="41" t="str">
        <f>VLOOKUP(Table1[[#This Row],[Tegevusala kood]],Table4[[Tegevusala kood]:[Tegevusala alanimetus]],2,FALSE)</f>
        <v>Side</v>
      </c>
      <c r="O827" s="41" t="s">
        <v>1</v>
      </c>
      <c r="P827" s="41" t="s">
        <v>1</v>
      </c>
      <c r="Q827" s="41" t="str">
        <f>VLOOKUP(Table1[[#This Row],[Eelarvekonto]],Table5[[Konto]:[Kontode alanimetus]],5,FALSE)</f>
        <v>Majandamiskulud</v>
      </c>
      <c r="R827" s="42" t="str">
        <f>VLOOKUP(Table1[[#This Row],[Tegevusala kood]],Table4[[Tegevusala kood]:[Tegevusala alanimetus]],4,FALSE)</f>
        <v>Side</v>
      </c>
      <c r="S827" s="53"/>
      <c r="T827" s="53"/>
      <c r="U827" s="53">
        <f>Table1[[#This Row],[Summa]]+Table1[[#This Row],[I Muudatus]]+Table1[[#This Row],[II Muudatus]]</f>
        <v>835.2</v>
      </c>
    </row>
    <row r="828" spans="1:21" ht="14.25" hidden="1" customHeight="1" x14ac:dyDescent="0.25">
      <c r="A828" s="41" t="s">
        <v>197</v>
      </c>
      <c r="B828" s="41">
        <v>4020</v>
      </c>
      <c r="C828" s="52">
        <v>5513081</v>
      </c>
      <c r="D828" s="52" t="str">
        <f>LEFT(Table1[[#This Row],[Eelarvekonto]],2)</f>
        <v>55</v>
      </c>
      <c r="E828" s="41" t="str">
        <f>VLOOKUP(Table1[[#This Row],[Eelarvekonto]],Table5[[Konto]:[Konto nimetus]],2,FALSE)</f>
        <v>Isikliku sõiduauto kompensatsioon</v>
      </c>
      <c r="F828" s="41" t="s">
        <v>139</v>
      </c>
      <c r="G828" s="41" t="s">
        <v>24</v>
      </c>
      <c r="J828" s="41" t="s">
        <v>427</v>
      </c>
      <c r="K828" s="41" t="s">
        <v>426</v>
      </c>
      <c r="L828" s="58" t="s">
        <v>425</v>
      </c>
      <c r="M828" s="58" t="str">
        <f>LEFT(Table1[[#This Row],[Tegevusala kood]],2)</f>
        <v>04</v>
      </c>
      <c r="N828" s="41" t="str">
        <f>VLOOKUP(Table1[[#This Row],[Tegevusala kood]],Table4[[Tegevusala kood]:[Tegevusala alanimetus]],2,FALSE)</f>
        <v>Side</v>
      </c>
      <c r="O828" s="41" t="s">
        <v>1</v>
      </c>
      <c r="P828" s="41" t="s">
        <v>1</v>
      </c>
      <c r="Q828" s="41" t="str">
        <f>VLOOKUP(Table1[[#This Row],[Eelarvekonto]],Table5[[Konto]:[Kontode alanimetus]],5,FALSE)</f>
        <v>Majandamiskulud</v>
      </c>
      <c r="R828" s="42" t="str">
        <f>VLOOKUP(Table1[[#This Row],[Tegevusala kood]],Table4[[Tegevusala kood]:[Tegevusala alanimetus]],4,FALSE)</f>
        <v>Side</v>
      </c>
      <c r="S828" s="53"/>
      <c r="T828" s="53"/>
      <c r="U828" s="53">
        <f>Table1[[#This Row],[Summa]]+Table1[[#This Row],[I Muudatus]]+Table1[[#This Row],[II Muudatus]]</f>
        <v>4020</v>
      </c>
    </row>
    <row r="829" spans="1:21" ht="14.25" hidden="1" customHeight="1" x14ac:dyDescent="0.25">
      <c r="A829" s="41" t="s">
        <v>730</v>
      </c>
      <c r="B829" s="41">
        <v>180</v>
      </c>
      <c r="C829" s="52">
        <v>5500</v>
      </c>
      <c r="D829" s="52" t="str">
        <f>LEFT(Table1[[#This Row],[Eelarvekonto]],2)</f>
        <v>55</v>
      </c>
      <c r="E829" s="41" t="str">
        <f>VLOOKUP(Table1[[#This Row],[Eelarvekonto]],Table5[[Konto]:[Konto nimetus]],2,FALSE)</f>
        <v>Administreerimiskulud</v>
      </c>
      <c r="F829" s="41" t="s">
        <v>139</v>
      </c>
      <c r="G829" s="41" t="s">
        <v>24</v>
      </c>
      <c r="J829" s="41" t="s">
        <v>427</v>
      </c>
      <c r="K829" s="41" t="s">
        <v>426</v>
      </c>
      <c r="L829" s="58" t="s">
        <v>425</v>
      </c>
      <c r="M829" s="58" t="str">
        <f>LEFT(Table1[[#This Row],[Tegevusala kood]],2)</f>
        <v>04</v>
      </c>
      <c r="N829" s="41" t="str">
        <f>VLOOKUP(Table1[[#This Row],[Tegevusala kood]],Table4[[Tegevusala kood]:[Tegevusala alanimetus]],2,FALSE)</f>
        <v>Side</v>
      </c>
      <c r="O829" s="41" t="s">
        <v>1</v>
      </c>
      <c r="P829" s="41" t="s">
        <v>1</v>
      </c>
      <c r="Q829" s="41" t="str">
        <f>VLOOKUP(Table1[[#This Row],[Eelarvekonto]],Table5[[Konto]:[Kontode alanimetus]],5,FALSE)</f>
        <v>Majandamiskulud</v>
      </c>
      <c r="R829" s="42" t="str">
        <f>VLOOKUP(Table1[[#This Row],[Tegevusala kood]],Table4[[Tegevusala kood]:[Tegevusala alanimetus]],4,FALSE)</f>
        <v>Side</v>
      </c>
      <c r="S829" s="53"/>
      <c r="T829" s="53"/>
      <c r="U829" s="53">
        <f>Table1[[#This Row],[Summa]]+Table1[[#This Row],[I Muudatus]]+Table1[[#This Row],[II Muudatus]]</f>
        <v>180</v>
      </c>
    </row>
    <row r="830" spans="1:21" ht="14.25" hidden="1" customHeight="1" x14ac:dyDescent="0.25">
      <c r="A830" s="41" t="s">
        <v>729</v>
      </c>
      <c r="B830" s="41">
        <v>91.2</v>
      </c>
      <c r="C830" s="52">
        <v>5514</v>
      </c>
      <c r="D830" s="52" t="str">
        <f>LEFT(Table1[[#This Row],[Eelarvekonto]],2)</f>
        <v>55</v>
      </c>
      <c r="E830" s="41" t="str">
        <f>VLOOKUP(Table1[[#This Row],[Eelarvekonto]],Table5[[Konto]:[Konto nimetus]],2,FALSE)</f>
        <v>Info- ja kommunikatsioonitehnoloogia kulud</v>
      </c>
      <c r="F830" s="41" t="s">
        <v>139</v>
      </c>
      <c r="G830" s="41" t="s">
        <v>24</v>
      </c>
      <c r="J830" s="41" t="s">
        <v>427</v>
      </c>
      <c r="K830" s="41" t="s">
        <v>426</v>
      </c>
      <c r="L830" s="58" t="s">
        <v>425</v>
      </c>
      <c r="M830" s="58" t="str">
        <f>LEFT(Table1[[#This Row],[Tegevusala kood]],2)</f>
        <v>04</v>
      </c>
      <c r="N830" s="41" t="str">
        <f>VLOOKUP(Table1[[#This Row],[Tegevusala kood]],Table4[[Tegevusala kood]:[Tegevusala alanimetus]],2,FALSE)</f>
        <v>Side</v>
      </c>
      <c r="O830" s="41" t="s">
        <v>1</v>
      </c>
      <c r="P830" s="41" t="s">
        <v>1</v>
      </c>
      <c r="Q830" s="41" t="str">
        <f>VLOOKUP(Table1[[#This Row],[Eelarvekonto]],Table5[[Konto]:[Kontode alanimetus]],5,FALSE)</f>
        <v>Majandamiskulud</v>
      </c>
      <c r="R830" s="42" t="str">
        <f>VLOOKUP(Table1[[#This Row],[Tegevusala kood]],Table4[[Tegevusala kood]:[Tegevusala alanimetus]],4,FALSE)</f>
        <v>Side</v>
      </c>
      <c r="S830" s="53"/>
      <c r="T830" s="53"/>
      <c r="U830" s="53">
        <f>Table1[[#This Row],[Summa]]+Table1[[#This Row],[I Muudatus]]+Table1[[#This Row],[II Muudatus]]</f>
        <v>91.2</v>
      </c>
    </row>
    <row r="831" spans="1:21" ht="14.25" hidden="1" customHeight="1" x14ac:dyDescent="0.25">
      <c r="A831" s="41" t="s">
        <v>728</v>
      </c>
      <c r="B831" s="41">
        <v>2131.1999999999998</v>
      </c>
      <c r="C831" s="52">
        <v>5514</v>
      </c>
      <c r="D831" s="52" t="str">
        <f>LEFT(Table1[[#This Row],[Eelarvekonto]],2)</f>
        <v>55</v>
      </c>
      <c r="E831" s="41" t="str">
        <f>VLOOKUP(Table1[[#This Row],[Eelarvekonto]],Table5[[Konto]:[Konto nimetus]],2,FALSE)</f>
        <v>Info- ja kommunikatsioonitehnoloogia kulud</v>
      </c>
      <c r="F831" s="41" t="s">
        <v>139</v>
      </c>
      <c r="G831" s="41" t="s">
        <v>24</v>
      </c>
      <c r="J831" s="41" t="s">
        <v>427</v>
      </c>
      <c r="K831" s="41" t="s">
        <v>426</v>
      </c>
      <c r="L831" s="58" t="s">
        <v>425</v>
      </c>
      <c r="M831" s="58" t="str">
        <f>LEFT(Table1[[#This Row],[Tegevusala kood]],2)</f>
        <v>04</v>
      </c>
      <c r="N831" s="41" t="str">
        <f>VLOOKUP(Table1[[#This Row],[Tegevusala kood]],Table4[[Tegevusala kood]:[Tegevusala alanimetus]],2,FALSE)</f>
        <v>Side</v>
      </c>
      <c r="O831" s="41" t="s">
        <v>1</v>
      </c>
      <c r="P831" s="41" t="s">
        <v>1</v>
      </c>
      <c r="Q831" s="41" t="str">
        <f>VLOOKUP(Table1[[#This Row],[Eelarvekonto]],Table5[[Konto]:[Kontode alanimetus]],5,FALSE)</f>
        <v>Majandamiskulud</v>
      </c>
      <c r="R831" s="42" t="str">
        <f>VLOOKUP(Table1[[#This Row],[Tegevusala kood]],Table4[[Tegevusala kood]:[Tegevusala alanimetus]],4,FALSE)</f>
        <v>Side</v>
      </c>
      <c r="S831" s="53"/>
      <c r="T831" s="53"/>
      <c r="U831" s="53">
        <f>Table1[[#This Row],[Summa]]+Table1[[#This Row],[I Muudatus]]+Table1[[#This Row],[II Muudatus]]</f>
        <v>2131.1999999999998</v>
      </c>
    </row>
    <row r="832" spans="1:21" ht="14.25" hidden="1" customHeight="1" x14ac:dyDescent="0.25">
      <c r="A832" s="41" t="s">
        <v>158</v>
      </c>
      <c r="B832" s="41">
        <v>7098</v>
      </c>
      <c r="C832" s="52">
        <v>506</v>
      </c>
      <c r="D832" s="52" t="str">
        <f>LEFT(Table1[[#This Row],[Eelarvekonto]],2)</f>
        <v>50</v>
      </c>
      <c r="E832" s="41" t="str">
        <f>VLOOKUP(Table1[[#This Row],[Eelarvekonto]],Table5[[Konto]:[Konto nimetus]],2,FALSE)</f>
        <v>Tööjõukuludega kaasnevad maksud ja sotsiaalkindlustusmaksed</v>
      </c>
      <c r="F832" s="41" t="s">
        <v>139</v>
      </c>
      <c r="G832" s="41" t="s">
        <v>24</v>
      </c>
      <c r="J832" s="41" t="s">
        <v>427</v>
      </c>
      <c r="K832" s="41" t="s">
        <v>426</v>
      </c>
      <c r="L832" s="58" t="s">
        <v>425</v>
      </c>
      <c r="M832" s="58" t="str">
        <f>LEFT(Table1[[#This Row],[Tegevusala kood]],2)</f>
        <v>04</v>
      </c>
      <c r="N832" s="41" t="str">
        <f>VLOOKUP(Table1[[#This Row],[Tegevusala kood]],Table4[[Tegevusala kood]:[Tegevusala alanimetus]],2,FALSE)</f>
        <v>Side</v>
      </c>
      <c r="O832" s="41" t="s">
        <v>1</v>
      </c>
      <c r="P832" s="41" t="s">
        <v>1</v>
      </c>
      <c r="Q832" s="41" t="str">
        <f>VLOOKUP(Table1[[#This Row],[Eelarvekonto]],Table5[[Konto]:[Kontode alanimetus]],5,FALSE)</f>
        <v>Tööjõukulud</v>
      </c>
      <c r="R832" s="42" t="str">
        <f>VLOOKUP(Table1[[#This Row],[Tegevusala kood]],Table4[[Tegevusala kood]:[Tegevusala alanimetus]],4,FALSE)</f>
        <v>Side</v>
      </c>
      <c r="S832" s="53"/>
      <c r="T832" s="53"/>
      <c r="U832" s="53">
        <f>Table1[[#This Row],[Summa]]+Table1[[#This Row],[I Muudatus]]+Table1[[#This Row],[II Muudatus]]</f>
        <v>7098</v>
      </c>
    </row>
    <row r="833" spans="1:21" ht="14.25" hidden="1" customHeight="1" x14ac:dyDescent="0.25">
      <c r="A833" s="41" t="s">
        <v>727</v>
      </c>
      <c r="B833" s="41">
        <v>21000</v>
      </c>
      <c r="C833" s="52">
        <v>5001</v>
      </c>
      <c r="D833" s="52" t="str">
        <f>LEFT(Table1[[#This Row],[Eelarvekonto]],2)</f>
        <v>50</v>
      </c>
      <c r="E833" s="41" t="str">
        <f>VLOOKUP(Table1[[#This Row],[Eelarvekonto]],Table5[[Konto]:[Konto nimetus]],2,FALSE)</f>
        <v xml:space="preserve"> Avaliku teenistuse ametnike töötasu</v>
      </c>
      <c r="F833" s="41" t="s">
        <v>139</v>
      </c>
      <c r="G833" s="41" t="s">
        <v>24</v>
      </c>
      <c r="J833" s="41" t="s">
        <v>427</v>
      </c>
      <c r="K833" s="41" t="s">
        <v>426</v>
      </c>
      <c r="L833" s="58" t="s">
        <v>425</v>
      </c>
      <c r="M833" s="58" t="str">
        <f>LEFT(Table1[[#This Row],[Tegevusala kood]],2)</f>
        <v>04</v>
      </c>
      <c r="N833" s="41" t="str">
        <f>VLOOKUP(Table1[[#This Row],[Tegevusala kood]],Table4[[Tegevusala kood]:[Tegevusala alanimetus]],2,FALSE)</f>
        <v>Side</v>
      </c>
      <c r="O833" s="41" t="s">
        <v>1</v>
      </c>
      <c r="P833" s="41" t="s">
        <v>1</v>
      </c>
      <c r="Q833" s="41" t="str">
        <f>VLOOKUP(Table1[[#This Row],[Eelarvekonto]],Table5[[Konto]:[Kontode alanimetus]],5,FALSE)</f>
        <v>Tööjõukulud</v>
      </c>
      <c r="R833" s="42" t="str">
        <f>VLOOKUP(Table1[[#This Row],[Tegevusala kood]],Table4[[Tegevusala kood]:[Tegevusala alanimetus]],4,FALSE)</f>
        <v>Side</v>
      </c>
      <c r="S833" s="53"/>
      <c r="T833" s="53"/>
      <c r="U833" s="53">
        <f>Table1[[#This Row],[Summa]]+Table1[[#This Row],[I Muudatus]]+Table1[[#This Row],[II Muudatus]]</f>
        <v>21000</v>
      </c>
    </row>
    <row r="834" spans="1:21" ht="14.25" hidden="1" customHeight="1" x14ac:dyDescent="0.25">
      <c r="A834" s="41" t="s">
        <v>1160</v>
      </c>
      <c r="B834" s="41">
        <v>3885</v>
      </c>
      <c r="C834" s="52">
        <v>5514</v>
      </c>
      <c r="D834" s="52" t="str">
        <f>LEFT(Table1[[#This Row],[Eelarvekonto]],2)</f>
        <v>55</v>
      </c>
      <c r="E834" s="41" t="str">
        <f>VLOOKUP(Table1[[#This Row],[Eelarvekonto]],Table5[[Konto]:[Konto nimetus]],2,FALSE)</f>
        <v>Info- ja kommunikatsioonitehnoloogia kulud</v>
      </c>
      <c r="F834" s="41" t="s">
        <v>139</v>
      </c>
      <c r="G834" s="41" t="s">
        <v>24</v>
      </c>
      <c r="J834" s="41" t="s">
        <v>427</v>
      </c>
      <c r="K834" s="41" t="s">
        <v>426</v>
      </c>
      <c r="L834" s="58" t="s">
        <v>425</v>
      </c>
      <c r="M834" s="58" t="str">
        <f>LEFT(Table1[[#This Row],[Tegevusala kood]],2)</f>
        <v>04</v>
      </c>
      <c r="N834" s="41" t="str">
        <f>VLOOKUP(Table1[[#This Row],[Tegevusala kood]],Table4[[Tegevusala kood]:[Tegevusala alanimetus]],2,FALSE)</f>
        <v>Side</v>
      </c>
      <c r="O834" s="41" t="s">
        <v>1</v>
      </c>
      <c r="P834" s="41" t="s">
        <v>1</v>
      </c>
      <c r="Q834" s="41" t="str">
        <f>VLOOKUP(Table1[[#This Row],[Eelarvekonto]],Table5[[Konto]:[Kontode alanimetus]],5,FALSE)</f>
        <v>Majandamiskulud</v>
      </c>
      <c r="R834" s="42" t="str">
        <f>VLOOKUP(Table1[[#This Row],[Tegevusala kood]],Table4[[Tegevusala kood]:[Tegevusala alanimetus]],4,FALSE)</f>
        <v>Side</v>
      </c>
      <c r="S834" s="53"/>
      <c r="T834" s="53"/>
      <c r="U834" s="53">
        <f>Table1[[#This Row],[Summa]]+Table1[[#This Row],[I Muudatus]]+Table1[[#This Row],[II Muudatus]]</f>
        <v>3885</v>
      </c>
    </row>
    <row r="835" spans="1:21" ht="14.25" hidden="1" customHeight="1" x14ac:dyDescent="0.25">
      <c r="A835" s="41" t="s">
        <v>1161</v>
      </c>
      <c r="B835" s="41">
        <v>2625</v>
      </c>
      <c r="C835" s="52">
        <v>5514</v>
      </c>
      <c r="D835" s="52" t="str">
        <f>LEFT(Table1[[#This Row],[Eelarvekonto]],2)</f>
        <v>55</v>
      </c>
      <c r="E835" s="41" t="str">
        <f>VLOOKUP(Table1[[#This Row],[Eelarvekonto]],Table5[[Konto]:[Konto nimetus]],2,FALSE)</f>
        <v>Info- ja kommunikatsioonitehnoloogia kulud</v>
      </c>
      <c r="F835" s="41" t="s">
        <v>139</v>
      </c>
      <c r="G835" s="41" t="s">
        <v>24</v>
      </c>
      <c r="J835" s="41" t="s">
        <v>427</v>
      </c>
      <c r="K835" s="41" t="s">
        <v>426</v>
      </c>
      <c r="L835" s="58" t="s">
        <v>425</v>
      </c>
      <c r="M835" s="58" t="str">
        <f>LEFT(Table1[[#This Row],[Tegevusala kood]],2)</f>
        <v>04</v>
      </c>
      <c r="N835" s="41" t="str">
        <f>VLOOKUP(Table1[[#This Row],[Tegevusala kood]],Table4[[Tegevusala kood]:[Tegevusala alanimetus]],2,FALSE)</f>
        <v>Side</v>
      </c>
      <c r="O835" s="41" t="s">
        <v>1</v>
      </c>
      <c r="P835" s="41" t="s">
        <v>1</v>
      </c>
      <c r="Q835" s="41" t="str">
        <f>VLOOKUP(Table1[[#This Row],[Eelarvekonto]],Table5[[Konto]:[Kontode alanimetus]],5,FALSE)</f>
        <v>Majandamiskulud</v>
      </c>
      <c r="R835" s="42" t="str">
        <f>VLOOKUP(Table1[[#This Row],[Tegevusala kood]],Table4[[Tegevusala kood]:[Tegevusala alanimetus]],4,FALSE)</f>
        <v>Side</v>
      </c>
      <c r="S835" s="53"/>
      <c r="T835" s="53"/>
      <c r="U835" s="53">
        <f>Table1[[#This Row],[Summa]]+Table1[[#This Row],[I Muudatus]]+Table1[[#This Row],[II Muudatus]]</f>
        <v>2625</v>
      </c>
    </row>
    <row r="836" spans="1:21" ht="14.25" hidden="1" customHeight="1" x14ac:dyDescent="0.25">
      <c r="A836" s="41" t="s">
        <v>1162</v>
      </c>
      <c r="B836" s="41">
        <v>3000</v>
      </c>
      <c r="C836" s="52">
        <v>5525</v>
      </c>
      <c r="D836" s="52" t="str">
        <f>LEFT(Table1[[#This Row],[Eelarvekonto]],2)</f>
        <v>55</v>
      </c>
      <c r="E836" s="41" t="str">
        <f>VLOOKUP(Table1[[#This Row],[Eelarvekonto]],Table5[[Konto]:[Konto nimetus]],2,FALSE)</f>
        <v>Kommunikatsiooni-, kultuuri- ja vaba aja sisustamise kulud</v>
      </c>
      <c r="F836" s="41" t="s">
        <v>139</v>
      </c>
      <c r="G836" s="41" t="s">
        <v>24</v>
      </c>
      <c r="J836" s="41" t="s">
        <v>764</v>
      </c>
      <c r="K836" s="41" t="s">
        <v>53</v>
      </c>
      <c r="L836" s="58" t="s">
        <v>763</v>
      </c>
      <c r="M836" s="58" t="str">
        <f>LEFT(Table1[[#This Row],[Tegevusala kood]],2)</f>
        <v>01</v>
      </c>
      <c r="N836" s="41" t="str">
        <f>VLOOKUP(Table1[[#This Row],[Tegevusala kood]],Table4[[Tegevusala kood]:[Tegevusala alanimetus]],2,FALSE)</f>
        <v>Valla- ja linnavolikogu</v>
      </c>
      <c r="O836" s="41" t="s">
        <v>1</v>
      </c>
      <c r="P836" s="41" t="s">
        <v>1</v>
      </c>
      <c r="Q836" s="41" t="str">
        <f>VLOOKUP(Table1[[#This Row],[Eelarvekonto]],Table5[[Konto]:[Kontode alanimetus]],5,FALSE)</f>
        <v>Majandamiskulud</v>
      </c>
      <c r="R836" s="42" t="str">
        <f>VLOOKUP(Table1[[#This Row],[Tegevusala kood]],Table4[[Tegevusala kood]:[Tegevusala alanimetus]],4,FALSE)</f>
        <v>Valla- ja linnavolikogu</v>
      </c>
      <c r="S836" s="53"/>
      <c r="T836" s="53"/>
      <c r="U836" s="53">
        <f>Table1[[#This Row],[Summa]]+Table1[[#This Row],[I Muudatus]]+Table1[[#This Row],[II Muudatus]]</f>
        <v>3000</v>
      </c>
    </row>
    <row r="837" spans="1:21" ht="14.25" hidden="1" customHeight="1" x14ac:dyDescent="0.25">
      <c r="A837" s="41" t="s">
        <v>770</v>
      </c>
      <c r="B837" s="41">
        <v>327.36</v>
      </c>
      <c r="C837" s="52">
        <v>5001</v>
      </c>
      <c r="D837" s="52" t="str">
        <f>LEFT(Table1[[#This Row],[Eelarvekonto]],2)</f>
        <v>50</v>
      </c>
      <c r="E837" s="41" t="str">
        <f>VLOOKUP(Table1[[#This Row],[Eelarvekonto]],Table5[[Konto]:[Konto nimetus]],2,FALSE)</f>
        <v xml:space="preserve"> Avaliku teenistuse ametnike töötasu</v>
      </c>
      <c r="F837" s="41" t="s">
        <v>139</v>
      </c>
      <c r="G837" s="41" t="s">
        <v>24</v>
      </c>
      <c r="J837" s="41" t="s">
        <v>764</v>
      </c>
      <c r="K837" s="41" t="s">
        <v>53</v>
      </c>
      <c r="L837" s="58" t="s">
        <v>763</v>
      </c>
      <c r="M837" s="58" t="str">
        <f>LEFT(Table1[[#This Row],[Tegevusala kood]],2)</f>
        <v>01</v>
      </c>
      <c r="N837" s="41" t="str">
        <f>VLOOKUP(Table1[[#This Row],[Tegevusala kood]],Table4[[Tegevusala kood]:[Tegevusala alanimetus]],2,FALSE)</f>
        <v>Valla- ja linnavolikogu</v>
      </c>
      <c r="O837" s="41" t="s">
        <v>1</v>
      </c>
      <c r="P837" s="41" t="s">
        <v>1</v>
      </c>
      <c r="Q837" s="41" t="str">
        <f>VLOOKUP(Table1[[#This Row],[Eelarvekonto]],Table5[[Konto]:[Kontode alanimetus]],5,FALSE)</f>
        <v>Tööjõukulud</v>
      </c>
      <c r="R837" s="42" t="str">
        <f>VLOOKUP(Table1[[#This Row],[Tegevusala kood]],Table4[[Tegevusala kood]:[Tegevusala alanimetus]],4,FALSE)</f>
        <v>Valla- ja linnavolikogu</v>
      </c>
      <c r="S837" s="53"/>
      <c r="T837" s="53"/>
      <c r="U837" s="53">
        <f>Table1[[#This Row],[Summa]]+Table1[[#This Row],[I Muudatus]]+Table1[[#This Row],[II Muudatus]]</f>
        <v>327.36</v>
      </c>
    </row>
    <row r="838" spans="1:21" ht="14.25" hidden="1" customHeight="1" x14ac:dyDescent="0.25">
      <c r="A838" s="41" t="s">
        <v>140</v>
      </c>
      <c r="B838" s="41">
        <v>3000</v>
      </c>
      <c r="C838" s="52">
        <v>5504</v>
      </c>
      <c r="D838" s="52" t="str">
        <f>LEFT(Table1[[#This Row],[Eelarvekonto]],2)</f>
        <v>55</v>
      </c>
      <c r="E838" s="41" t="str">
        <f>VLOOKUP(Table1[[#This Row],[Eelarvekonto]],Table5[[Konto]:[Konto nimetus]],2,FALSE)</f>
        <v>Koolituskulud (sh koolituslähetus)</v>
      </c>
      <c r="F838" s="41" t="s">
        <v>139</v>
      </c>
      <c r="G838" s="41" t="s">
        <v>24</v>
      </c>
      <c r="J838" s="41" t="s">
        <v>764</v>
      </c>
      <c r="K838" s="41" t="s">
        <v>53</v>
      </c>
      <c r="L838" s="58" t="s">
        <v>763</v>
      </c>
      <c r="M838" s="58" t="str">
        <f>LEFT(Table1[[#This Row],[Tegevusala kood]],2)</f>
        <v>01</v>
      </c>
      <c r="N838" s="41" t="str">
        <f>VLOOKUP(Table1[[#This Row],[Tegevusala kood]],Table4[[Tegevusala kood]:[Tegevusala alanimetus]],2,FALSE)</f>
        <v>Valla- ja linnavolikogu</v>
      </c>
      <c r="O838" s="41" t="s">
        <v>1</v>
      </c>
      <c r="P838" s="41" t="s">
        <v>1</v>
      </c>
      <c r="Q838" s="41" t="str">
        <f>VLOOKUP(Table1[[#This Row],[Eelarvekonto]],Table5[[Konto]:[Kontode alanimetus]],5,FALSE)</f>
        <v>Majandamiskulud</v>
      </c>
      <c r="R838" s="42" t="str">
        <f>VLOOKUP(Table1[[#This Row],[Tegevusala kood]],Table4[[Tegevusala kood]:[Tegevusala alanimetus]],4,FALSE)</f>
        <v>Valla- ja linnavolikogu</v>
      </c>
      <c r="S838" s="53"/>
      <c r="T838" s="53"/>
      <c r="U838" s="53">
        <f>Table1[[#This Row],[Summa]]+Table1[[#This Row],[I Muudatus]]+Table1[[#This Row],[II Muudatus]]</f>
        <v>3000</v>
      </c>
    </row>
    <row r="839" spans="1:21" ht="14.25" hidden="1" customHeight="1" x14ac:dyDescent="0.25">
      <c r="A839" s="41" t="s">
        <v>158</v>
      </c>
      <c r="B839" s="41">
        <v>12770.44</v>
      </c>
      <c r="C839" s="52">
        <v>506</v>
      </c>
      <c r="D839" s="52" t="str">
        <f>LEFT(Table1[[#This Row],[Eelarvekonto]],2)</f>
        <v>50</v>
      </c>
      <c r="E839" s="41" t="str">
        <f>VLOOKUP(Table1[[#This Row],[Eelarvekonto]],Table5[[Konto]:[Konto nimetus]],2,FALSE)</f>
        <v>Tööjõukuludega kaasnevad maksud ja sotsiaalkindlustusmaksed</v>
      </c>
      <c r="F839" s="41" t="s">
        <v>139</v>
      </c>
      <c r="G839" s="41" t="s">
        <v>24</v>
      </c>
      <c r="J839" s="41" t="s">
        <v>764</v>
      </c>
      <c r="K839" s="41" t="s">
        <v>53</v>
      </c>
      <c r="L839" s="58" t="s">
        <v>763</v>
      </c>
      <c r="M839" s="58" t="str">
        <f>LEFT(Table1[[#This Row],[Tegevusala kood]],2)</f>
        <v>01</v>
      </c>
      <c r="N839" s="41" t="str">
        <f>VLOOKUP(Table1[[#This Row],[Tegevusala kood]],Table4[[Tegevusala kood]:[Tegevusala alanimetus]],2,FALSE)</f>
        <v>Valla- ja linnavolikogu</v>
      </c>
      <c r="O839" s="41" t="s">
        <v>1</v>
      </c>
      <c r="P839" s="41" t="s">
        <v>1</v>
      </c>
      <c r="Q839" s="41" t="str">
        <f>VLOOKUP(Table1[[#This Row],[Eelarvekonto]],Table5[[Konto]:[Kontode alanimetus]],5,FALSE)</f>
        <v>Tööjõukulud</v>
      </c>
      <c r="R839" s="42" t="str">
        <f>VLOOKUP(Table1[[#This Row],[Tegevusala kood]],Table4[[Tegevusala kood]:[Tegevusala alanimetus]],4,FALSE)</f>
        <v>Valla- ja linnavolikogu</v>
      </c>
      <c r="S839" s="53"/>
      <c r="T839" s="53"/>
      <c r="U839" s="53">
        <f>Table1[[#This Row],[Summa]]+Table1[[#This Row],[I Muudatus]]+Table1[[#This Row],[II Muudatus]]</f>
        <v>12770.44</v>
      </c>
    </row>
    <row r="840" spans="1:21" ht="14.25" hidden="1" customHeight="1" x14ac:dyDescent="0.25">
      <c r="A840" s="41" t="s">
        <v>769</v>
      </c>
      <c r="B840" s="41">
        <v>8855</v>
      </c>
      <c r="C840" s="52">
        <v>5000</v>
      </c>
      <c r="D840" s="52" t="str">
        <f>LEFT(Table1[[#This Row],[Eelarvekonto]],2)</f>
        <v>50</v>
      </c>
      <c r="E840" s="41" t="str">
        <f>VLOOKUP(Table1[[#This Row],[Eelarvekonto]],Table5[[Konto]:[Konto nimetus]],2,FALSE)</f>
        <v>Valitavate ametnike ja kõrgemate riigiteenijate töötasu</v>
      </c>
      <c r="F840" s="41" t="s">
        <v>139</v>
      </c>
      <c r="G840" s="41" t="s">
        <v>24</v>
      </c>
      <c r="J840" s="41" t="s">
        <v>764</v>
      </c>
      <c r="K840" s="41" t="s">
        <v>53</v>
      </c>
      <c r="L840" s="58" t="s">
        <v>763</v>
      </c>
      <c r="M840" s="58" t="str">
        <f>LEFT(Table1[[#This Row],[Tegevusala kood]],2)</f>
        <v>01</v>
      </c>
      <c r="N840" s="41" t="str">
        <f>VLOOKUP(Table1[[#This Row],[Tegevusala kood]],Table4[[Tegevusala kood]:[Tegevusala alanimetus]],2,FALSE)</f>
        <v>Valla- ja linnavolikogu</v>
      </c>
      <c r="O840" s="41" t="s">
        <v>1</v>
      </c>
      <c r="P840" s="41" t="s">
        <v>1</v>
      </c>
      <c r="Q840" s="41" t="str">
        <f>VLOOKUP(Table1[[#This Row],[Eelarvekonto]],Table5[[Konto]:[Kontode alanimetus]],5,FALSE)</f>
        <v>Tööjõukulud</v>
      </c>
      <c r="R840" s="42" t="str">
        <f>VLOOKUP(Table1[[#This Row],[Tegevusala kood]],Table4[[Tegevusala kood]:[Tegevusala alanimetus]],4,FALSE)</f>
        <v>Valla- ja linnavolikogu</v>
      </c>
      <c r="S840" s="53"/>
      <c r="T840" s="53"/>
      <c r="U840" s="53">
        <f>Table1[[#This Row],[Summa]]+Table1[[#This Row],[I Muudatus]]+Table1[[#This Row],[II Muudatus]]</f>
        <v>8855</v>
      </c>
    </row>
    <row r="841" spans="1:21" ht="14.25" hidden="1" customHeight="1" x14ac:dyDescent="0.25">
      <c r="A841" s="41" t="s">
        <v>768</v>
      </c>
      <c r="B841" s="41">
        <v>2500</v>
      </c>
      <c r="C841" s="52">
        <v>5500</v>
      </c>
      <c r="D841" s="52" t="str">
        <f>LEFT(Table1[[#This Row],[Eelarvekonto]],2)</f>
        <v>55</v>
      </c>
      <c r="E841" s="41" t="str">
        <f>VLOOKUP(Table1[[#This Row],[Eelarvekonto]],Table5[[Konto]:[Konto nimetus]],2,FALSE)</f>
        <v>Administreerimiskulud</v>
      </c>
      <c r="F841" s="41" t="s">
        <v>139</v>
      </c>
      <c r="G841" s="41" t="s">
        <v>24</v>
      </c>
      <c r="J841" s="41" t="s">
        <v>764</v>
      </c>
      <c r="K841" s="41" t="s">
        <v>53</v>
      </c>
      <c r="L841" s="58" t="s">
        <v>763</v>
      </c>
      <c r="M841" s="58" t="str">
        <f>LEFT(Table1[[#This Row],[Tegevusala kood]],2)</f>
        <v>01</v>
      </c>
      <c r="N841" s="41" t="str">
        <f>VLOOKUP(Table1[[#This Row],[Tegevusala kood]],Table4[[Tegevusala kood]:[Tegevusala alanimetus]],2,FALSE)</f>
        <v>Valla- ja linnavolikogu</v>
      </c>
      <c r="O841" s="41" t="s">
        <v>1</v>
      </c>
      <c r="P841" s="41" t="s">
        <v>1</v>
      </c>
      <c r="Q841" s="41" t="str">
        <f>VLOOKUP(Table1[[#This Row],[Eelarvekonto]],Table5[[Konto]:[Kontode alanimetus]],5,FALSE)</f>
        <v>Majandamiskulud</v>
      </c>
      <c r="R841" s="42" t="str">
        <f>VLOOKUP(Table1[[#This Row],[Tegevusala kood]],Table4[[Tegevusala kood]:[Tegevusala alanimetus]],4,FALSE)</f>
        <v>Valla- ja linnavolikogu</v>
      </c>
      <c r="S841" s="53"/>
      <c r="T841" s="53"/>
      <c r="U841" s="53">
        <f>Table1[[#This Row],[Summa]]+Table1[[#This Row],[I Muudatus]]+Table1[[#This Row],[II Muudatus]]</f>
        <v>2500</v>
      </c>
    </row>
    <row r="842" spans="1:21" ht="14.25" hidden="1" customHeight="1" x14ac:dyDescent="0.25">
      <c r="A842" s="41" t="s">
        <v>767</v>
      </c>
      <c r="B842" s="41">
        <v>6600</v>
      </c>
      <c r="C842" s="52">
        <v>5000</v>
      </c>
      <c r="D842" s="52" t="str">
        <f>LEFT(Table1[[#This Row],[Eelarvekonto]],2)</f>
        <v>50</v>
      </c>
      <c r="E842" s="41" t="str">
        <f>VLOOKUP(Table1[[#This Row],[Eelarvekonto]],Table5[[Konto]:[Konto nimetus]],2,FALSE)</f>
        <v>Valitavate ametnike ja kõrgemate riigiteenijate töötasu</v>
      </c>
      <c r="F842" s="41" t="s">
        <v>139</v>
      </c>
      <c r="G842" s="41" t="s">
        <v>24</v>
      </c>
      <c r="J842" s="41" t="s">
        <v>764</v>
      </c>
      <c r="K842" s="41" t="s">
        <v>53</v>
      </c>
      <c r="L842" s="58" t="s">
        <v>763</v>
      </c>
      <c r="M842" s="58" t="str">
        <f>LEFT(Table1[[#This Row],[Tegevusala kood]],2)</f>
        <v>01</v>
      </c>
      <c r="N842" s="41" t="str">
        <f>VLOOKUP(Table1[[#This Row],[Tegevusala kood]],Table4[[Tegevusala kood]:[Tegevusala alanimetus]],2,FALSE)</f>
        <v>Valla- ja linnavolikogu</v>
      </c>
      <c r="O842" s="41" t="s">
        <v>1</v>
      </c>
      <c r="P842" s="41" t="s">
        <v>1</v>
      </c>
      <c r="Q842" s="41" t="str">
        <f>VLOOKUP(Table1[[#This Row],[Eelarvekonto]],Table5[[Konto]:[Kontode alanimetus]],5,FALSE)</f>
        <v>Tööjõukulud</v>
      </c>
      <c r="R842" s="42" t="str">
        <f>VLOOKUP(Table1[[#This Row],[Tegevusala kood]],Table4[[Tegevusala kood]:[Tegevusala alanimetus]],4,FALSE)</f>
        <v>Valla- ja linnavolikogu</v>
      </c>
      <c r="S842" s="53"/>
      <c r="T842" s="53"/>
      <c r="U842" s="53">
        <f>Table1[[#This Row],[Summa]]+Table1[[#This Row],[I Muudatus]]+Table1[[#This Row],[II Muudatus]]</f>
        <v>6600</v>
      </c>
    </row>
    <row r="843" spans="1:21" ht="14.25" hidden="1" customHeight="1" x14ac:dyDescent="0.25">
      <c r="A843" s="41" t="s">
        <v>197</v>
      </c>
      <c r="B843" s="41">
        <v>1800</v>
      </c>
      <c r="C843" s="52">
        <v>5513081</v>
      </c>
      <c r="D843" s="52" t="str">
        <f>LEFT(Table1[[#This Row],[Eelarvekonto]],2)</f>
        <v>55</v>
      </c>
      <c r="E843" s="41" t="str">
        <f>VLOOKUP(Table1[[#This Row],[Eelarvekonto]],Table5[[Konto]:[Konto nimetus]],2,FALSE)</f>
        <v>Isikliku sõiduauto kompensatsioon</v>
      </c>
      <c r="F843" s="41" t="s">
        <v>139</v>
      </c>
      <c r="G843" s="41" t="s">
        <v>24</v>
      </c>
      <c r="J843" s="41" t="s">
        <v>764</v>
      </c>
      <c r="K843" s="41" t="s">
        <v>53</v>
      </c>
      <c r="L843" s="58" t="s">
        <v>763</v>
      </c>
      <c r="M843" s="58" t="str">
        <f>LEFT(Table1[[#This Row],[Tegevusala kood]],2)</f>
        <v>01</v>
      </c>
      <c r="N843" s="41" t="str">
        <f>VLOOKUP(Table1[[#This Row],[Tegevusala kood]],Table4[[Tegevusala kood]:[Tegevusala alanimetus]],2,FALSE)</f>
        <v>Valla- ja linnavolikogu</v>
      </c>
      <c r="O843" s="41" t="s">
        <v>1</v>
      </c>
      <c r="P843" s="41" t="s">
        <v>1</v>
      </c>
      <c r="Q843" s="41" t="str">
        <f>VLOOKUP(Table1[[#This Row],[Eelarvekonto]],Table5[[Konto]:[Kontode alanimetus]],5,FALSE)</f>
        <v>Majandamiskulud</v>
      </c>
      <c r="R843" s="42" t="str">
        <f>VLOOKUP(Table1[[#This Row],[Tegevusala kood]],Table4[[Tegevusala kood]:[Tegevusala alanimetus]],4,FALSE)</f>
        <v>Valla- ja linnavolikogu</v>
      </c>
      <c r="S843" s="53"/>
      <c r="T843" s="53"/>
      <c r="U843" s="53">
        <f>Table1[[#This Row],[Summa]]+Table1[[#This Row],[I Muudatus]]+Table1[[#This Row],[II Muudatus]]</f>
        <v>1800</v>
      </c>
    </row>
    <row r="844" spans="1:21" s="68" customFormat="1" ht="14.25" hidden="1" customHeight="1" x14ac:dyDescent="0.25">
      <c r="A844" s="68" t="s">
        <v>197</v>
      </c>
      <c r="B844" s="42">
        <f>12*75</f>
        <v>900</v>
      </c>
      <c r="C844" s="52">
        <v>5513081</v>
      </c>
      <c r="D844" s="53" t="str">
        <f>LEFT(Table1[[#This Row],[Eelarvekonto]],2)</f>
        <v>55</v>
      </c>
      <c r="E844" s="53" t="str">
        <f>VLOOKUP(Table1[[#This Row],[Eelarvekonto]],Table5[[Konto]:[Konto nimetus]],2,FALSE)</f>
        <v>Isikliku sõiduauto kompensatsioon</v>
      </c>
      <c r="F844" s="68" t="s">
        <v>139</v>
      </c>
      <c r="G844" s="68" t="s">
        <v>24</v>
      </c>
      <c r="J844" s="68" t="s">
        <v>764</v>
      </c>
      <c r="K844" s="68" t="s">
        <v>53</v>
      </c>
      <c r="L844" s="58" t="s">
        <v>763</v>
      </c>
      <c r="M844" s="104" t="str">
        <f>LEFT(Table1[[#This Row],[Tegevusala kood]],2)</f>
        <v>01</v>
      </c>
      <c r="N844" s="53" t="str">
        <f>VLOOKUP(Table1[[#This Row],[Tegevusala kood]],Table4[[Tegevusala kood]:[Tegevusala alanimetus]],2,FALSE)</f>
        <v>Valla- ja linnavolikogu</v>
      </c>
      <c r="O844" s="42"/>
      <c r="P844" s="42"/>
      <c r="Q844" s="53" t="str">
        <f>VLOOKUP(Table1[[#This Row],[Eelarvekonto]],Table5[[Konto]:[Kontode alanimetus]],5,FALSE)</f>
        <v>Majandamiskulud</v>
      </c>
      <c r="R844" s="53" t="str">
        <f>VLOOKUP(Table1[[#This Row],[Tegevusala kood]],Table4[[Tegevusala kood]:[Tegevusala alanimetus]],4,FALSE)</f>
        <v>Valla- ja linnavolikogu</v>
      </c>
      <c r="S844" s="53"/>
      <c r="T844" s="53"/>
      <c r="U844" s="53">
        <f>Table1[[#This Row],[Summa]]+Table1[[#This Row],[I Muudatus]]+Table1[[#This Row],[II Muudatus]]</f>
        <v>900</v>
      </c>
    </row>
    <row r="845" spans="1:21" ht="14.25" hidden="1" customHeight="1" x14ac:dyDescent="0.25">
      <c r="A845" s="41" t="s">
        <v>766</v>
      </c>
      <c r="B845" s="41">
        <v>4000</v>
      </c>
      <c r="C845" s="52">
        <v>5000</v>
      </c>
      <c r="D845" s="52" t="str">
        <f>LEFT(Table1[[#This Row],[Eelarvekonto]],2)</f>
        <v>50</v>
      </c>
      <c r="E845" s="41" t="str">
        <f>VLOOKUP(Table1[[#This Row],[Eelarvekonto]],Table5[[Konto]:[Konto nimetus]],2,FALSE)</f>
        <v>Valitavate ametnike ja kõrgemate riigiteenijate töötasu</v>
      </c>
      <c r="F845" s="41" t="s">
        <v>139</v>
      </c>
      <c r="G845" s="41" t="s">
        <v>24</v>
      </c>
      <c r="J845" s="41" t="s">
        <v>764</v>
      </c>
      <c r="K845" s="41" t="s">
        <v>53</v>
      </c>
      <c r="L845" s="58" t="s">
        <v>763</v>
      </c>
      <c r="M845" s="58" t="str">
        <f>LEFT(Table1[[#This Row],[Tegevusala kood]],2)</f>
        <v>01</v>
      </c>
      <c r="N845" s="41" t="str">
        <f>VLOOKUP(Table1[[#This Row],[Tegevusala kood]],Table4[[Tegevusala kood]:[Tegevusala alanimetus]],2,FALSE)</f>
        <v>Valla- ja linnavolikogu</v>
      </c>
      <c r="O845" s="41" t="s">
        <v>1</v>
      </c>
      <c r="P845" s="41" t="s">
        <v>1</v>
      </c>
      <c r="Q845" s="41" t="str">
        <f>VLOOKUP(Table1[[#This Row],[Eelarvekonto]],Table5[[Konto]:[Kontode alanimetus]],5,FALSE)</f>
        <v>Tööjõukulud</v>
      </c>
      <c r="R845" s="42" t="str">
        <f>VLOOKUP(Table1[[#This Row],[Tegevusala kood]],Table4[[Tegevusala kood]:[Tegevusala alanimetus]],4,FALSE)</f>
        <v>Valla- ja linnavolikogu</v>
      </c>
      <c r="S845" s="53"/>
      <c r="T845" s="53"/>
      <c r="U845" s="53">
        <f>Table1[[#This Row],[Summa]]+Table1[[#This Row],[I Muudatus]]+Table1[[#This Row],[II Muudatus]]</f>
        <v>4000</v>
      </c>
    </row>
    <row r="846" spans="1:21" ht="14.25" hidden="1" customHeight="1" x14ac:dyDescent="0.25">
      <c r="A846" s="41" t="s">
        <v>765</v>
      </c>
      <c r="B846" s="41">
        <v>12000</v>
      </c>
      <c r="C846" s="52">
        <v>5000</v>
      </c>
      <c r="D846" s="52" t="str">
        <f>LEFT(Table1[[#This Row],[Eelarvekonto]],2)</f>
        <v>50</v>
      </c>
      <c r="E846" s="41" t="str">
        <f>VLOOKUP(Table1[[#This Row],[Eelarvekonto]],Table5[[Konto]:[Konto nimetus]],2,FALSE)</f>
        <v>Valitavate ametnike ja kõrgemate riigiteenijate töötasu</v>
      </c>
      <c r="F846" s="41" t="s">
        <v>139</v>
      </c>
      <c r="G846" s="41" t="s">
        <v>24</v>
      </c>
      <c r="J846" s="41" t="s">
        <v>764</v>
      </c>
      <c r="K846" s="41" t="s">
        <v>53</v>
      </c>
      <c r="L846" s="58" t="s">
        <v>763</v>
      </c>
      <c r="M846" s="58" t="str">
        <f>LEFT(Table1[[#This Row],[Tegevusala kood]],2)</f>
        <v>01</v>
      </c>
      <c r="N846" s="41" t="str">
        <f>VLOOKUP(Table1[[#This Row],[Tegevusala kood]],Table4[[Tegevusala kood]:[Tegevusala alanimetus]],2,FALSE)</f>
        <v>Valla- ja linnavolikogu</v>
      </c>
      <c r="O846" s="41" t="s">
        <v>1</v>
      </c>
      <c r="P846" s="41" t="s">
        <v>1</v>
      </c>
      <c r="Q846" s="41" t="str">
        <f>VLOOKUP(Table1[[#This Row],[Eelarvekonto]],Table5[[Konto]:[Kontode alanimetus]],5,FALSE)</f>
        <v>Tööjõukulud</v>
      </c>
      <c r="R846" s="42" t="str">
        <f>VLOOKUP(Table1[[#This Row],[Tegevusala kood]],Table4[[Tegevusala kood]:[Tegevusala alanimetus]],4,FALSE)</f>
        <v>Valla- ja linnavolikogu</v>
      </c>
      <c r="S846" s="53"/>
      <c r="T846" s="53"/>
      <c r="U846" s="53">
        <f>Table1[[#This Row],[Summa]]+Table1[[#This Row],[I Muudatus]]+Table1[[#This Row],[II Muudatus]]</f>
        <v>12000</v>
      </c>
    </row>
    <row r="847" spans="1:21" ht="14.25" hidden="1" customHeight="1" x14ac:dyDescent="0.25">
      <c r="A847" s="41" t="s">
        <v>1402</v>
      </c>
      <c r="B847" s="41">
        <v>500</v>
      </c>
      <c r="C847" s="52">
        <v>4528</v>
      </c>
      <c r="D847" s="52" t="str">
        <f>LEFT(Table1[[#This Row],[Eelarvekonto]],2)</f>
        <v>45</v>
      </c>
      <c r="E847" s="41" t="str">
        <f>VLOOKUP(Table1[[#This Row],[Eelarvekonto]],Table5[[Konto]:[Konto nimetus]],2,FALSE)</f>
        <v>Liikmemaksud</v>
      </c>
      <c r="F847" s="41" t="s">
        <v>139</v>
      </c>
      <c r="G847" s="41" t="s">
        <v>24</v>
      </c>
      <c r="J847" s="41" t="s">
        <v>139</v>
      </c>
      <c r="K847" s="41" t="s">
        <v>54</v>
      </c>
      <c r="L847" s="58" t="s">
        <v>743</v>
      </c>
      <c r="M847" s="58" t="str">
        <f>LEFT(Table1[[#This Row],[Tegevusala kood]],2)</f>
        <v>01</v>
      </c>
      <c r="N847" s="41" t="str">
        <f>VLOOKUP(Table1[[#This Row],[Tegevusala kood]],Table4[[Tegevusala kood]:[Tegevusala alanimetus]],2,FALSE)</f>
        <v>Üldiseloomuga ülekanded valitsussektoris</v>
      </c>
      <c r="O847" s="41" t="s">
        <v>1</v>
      </c>
      <c r="P847" s="41" t="s">
        <v>1</v>
      </c>
      <c r="Q847" s="41" t="str">
        <f>VLOOKUP(Table1[[#This Row],[Eelarvekonto]],Table5[[Konto]:[Kontode alanimetus]],5,FALSE)</f>
        <v>Mittesihtotstarbelised toetused</v>
      </c>
      <c r="R847" s="42" t="str">
        <f>VLOOKUP(Table1[[#This Row],[Tegevusala kood]],Table4[[Tegevusala kood]:[Tegevusala alanimetus]],4,FALSE)</f>
        <v>Üldiseloomuga ülekanded valitsussektoris</v>
      </c>
      <c r="S847" s="53"/>
      <c r="T847" s="53"/>
      <c r="U847" s="53">
        <f>Table1[[#This Row],[Summa]]+Table1[[#This Row],[I Muudatus]]+Table1[[#This Row],[II Muudatus]]</f>
        <v>500</v>
      </c>
    </row>
    <row r="848" spans="1:21" ht="14.25" hidden="1" customHeight="1" x14ac:dyDescent="0.25">
      <c r="A848" s="41" t="s">
        <v>1403</v>
      </c>
      <c r="B848" s="41">
        <v>850</v>
      </c>
      <c r="C848" s="52">
        <v>4528</v>
      </c>
      <c r="D848" s="52" t="str">
        <f>LEFT(Table1[[#This Row],[Eelarvekonto]],2)</f>
        <v>45</v>
      </c>
      <c r="E848" s="41" t="str">
        <f>VLOOKUP(Table1[[#This Row],[Eelarvekonto]],Table5[[Konto]:[Konto nimetus]],2,FALSE)</f>
        <v>Liikmemaksud</v>
      </c>
      <c r="F848" s="41" t="s">
        <v>139</v>
      </c>
      <c r="G848" s="41" t="s">
        <v>24</v>
      </c>
      <c r="J848" s="41" t="s">
        <v>139</v>
      </c>
      <c r="K848" s="41" t="s">
        <v>54</v>
      </c>
      <c r="L848" s="58" t="s">
        <v>743</v>
      </c>
      <c r="M848" s="58" t="str">
        <f>LEFT(Table1[[#This Row],[Tegevusala kood]],2)</f>
        <v>01</v>
      </c>
      <c r="N848" s="41" t="str">
        <f>VLOOKUP(Table1[[#This Row],[Tegevusala kood]],Table4[[Tegevusala kood]:[Tegevusala alanimetus]],2,FALSE)</f>
        <v>Üldiseloomuga ülekanded valitsussektoris</v>
      </c>
      <c r="O848" s="41" t="s">
        <v>1</v>
      </c>
      <c r="P848" s="41" t="s">
        <v>1</v>
      </c>
      <c r="Q848" s="41" t="str">
        <f>VLOOKUP(Table1[[#This Row],[Eelarvekonto]],Table5[[Konto]:[Kontode alanimetus]],5,FALSE)</f>
        <v>Mittesihtotstarbelised toetused</v>
      </c>
      <c r="R848" s="42" t="str">
        <f>VLOOKUP(Table1[[#This Row],[Tegevusala kood]],Table4[[Tegevusala kood]:[Tegevusala alanimetus]],4,FALSE)</f>
        <v>Üldiseloomuga ülekanded valitsussektoris</v>
      </c>
      <c r="S848" s="53"/>
      <c r="T848" s="53"/>
      <c r="U848" s="53">
        <f>Table1[[#This Row],[Summa]]+Table1[[#This Row],[I Muudatus]]+Table1[[#This Row],[II Muudatus]]</f>
        <v>850</v>
      </c>
    </row>
    <row r="849" spans="1:21" ht="14.25" hidden="1" customHeight="1" x14ac:dyDescent="0.25">
      <c r="A849" s="41" t="s">
        <v>747</v>
      </c>
      <c r="B849" s="41">
        <v>1500</v>
      </c>
      <c r="C849" s="52">
        <v>4528</v>
      </c>
      <c r="D849" s="52" t="str">
        <f>LEFT(Table1[[#This Row],[Eelarvekonto]],2)</f>
        <v>45</v>
      </c>
      <c r="E849" s="41" t="str">
        <f>VLOOKUP(Table1[[#This Row],[Eelarvekonto]],Table5[[Konto]:[Konto nimetus]],2,FALSE)</f>
        <v>Liikmemaksud</v>
      </c>
      <c r="F849" s="41" t="s">
        <v>139</v>
      </c>
      <c r="G849" s="41" t="s">
        <v>24</v>
      </c>
      <c r="J849" s="41" t="s">
        <v>139</v>
      </c>
      <c r="K849" s="41" t="s">
        <v>54</v>
      </c>
      <c r="L849" s="58" t="s">
        <v>743</v>
      </c>
      <c r="M849" s="58" t="str">
        <f>LEFT(Table1[[#This Row],[Tegevusala kood]],2)</f>
        <v>01</v>
      </c>
      <c r="N849" s="41" t="str">
        <f>VLOOKUP(Table1[[#This Row],[Tegevusala kood]],Table4[[Tegevusala kood]:[Tegevusala alanimetus]],2,FALSE)</f>
        <v>Üldiseloomuga ülekanded valitsussektoris</v>
      </c>
      <c r="O849" s="41" t="s">
        <v>1</v>
      </c>
      <c r="P849" s="41" t="s">
        <v>1</v>
      </c>
      <c r="Q849" s="41" t="str">
        <f>VLOOKUP(Table1[[#This Row],[Eelarvekonto]],Table5[[Konto]:[Kontode alanimetus]],5,FALSE)</f>
        <v>Mittesihtotstarbelised toetused</v>
      </c>
      <c r="R849" s="42" t="str">
        <f>VLOOKUP(Table1[[#This Row],[Tegevusala kood]],Table4[[Tegevusala kood]:[Tegevusala alanimetus]],4,FALSE)</f>
        <v>Üldiseloomuga ülekanded valitsussektoris</v>
      </c>
      <c r="S849" s="53"/>
      <c r="T849" s="53"/>
      <c r="U849" s="53">
        <f>Table1[[#This Row],[Summa]]+Table1[[#This Row],[I Muudatus]]+Table1[[#This Row],[II Muudatus]]</f>
        <v>1500</v>
      </c>
    </row>
    <row r="850" spans="1:21" ht="14.25" hidden="1" customHeight="1" x14ac:dyDescent="0.25">
      <c r="A850" s="41" t="s">
        <v>746</v>
      </c>
      <c r="B850" s="41">
        <v>4474</v>
      </c>
      <c r="C850" s="52">
        <v>4528</v>
      </c>
      <c r="D850" s="52" t="str">
        <f>LEFT(Table1[[#This Row],[Eelarvekonto]],2)</f>
        <v>45</v>
      </c>
      <c r="E850" s="41" t="str">
        <f>VLOOKUP(Table1[[#This Row],[Eelarvekonto]],Table5[[Konto]:[Konto nimetus]],2,FALSE)</f>
        <v>Liikmemaksud</v>
      </c>
      <c r="F850" s="41" t="s">
        <v>139</v>
      </c>
      <c r="G850" s="41" t="s">
        <v>24</v>
      </c>
      <c r="J850" s="41" t="s">
        <v>139</v>
      </c>
      <c r="K850" s="41" t="s">
        <v>54</v>
      </c>
      <c r="L850" s="58" t="s">
        <v>743</v>
      </c>
      <c r="M850" s="58" t="str">
        <f>LEFT(Table1[[#This Row],[Tegevusala kood]],2)</f>
        <v>01</v>
      </c>
      <c r="N850" s="41" t="str">
        <f>VLOOKUP(Table1[[#This Row],[Tegevusala kood]],Table4[[Tegevusala kood]:[Tegevusala alanimetus]],2,FALSE)</f>
        <v>Üldiseloomuga ülekanded valitsussektoris</v>
      </c>
      <c r="O850" s="41" t="s">
        <v>1</v>
      </c>
      <c r="P850" s="41" t="s">
        <v>1</v>
      </c>
      <c r="Q850" s="41" t="str">
        <f>VLOOKUP(Table1[[#This Row],[Eelarvekonto]],Table5[[Konto]:[Kontode alanimetus]],5,FALSE)</f>
        <v>Mittesihtotstarbelised toetused</v>
      </c>
      <c r="R850" s="42" t="str">
        <f>VLOOKUP(Table1[[#This Row],[Tegevusala kood]],Table4[[Tegevusala kood]:[Tegevusala alanimetus]],4,FALSE)</f>
        <v>Üldiseloomuga ülekanded valitsussektoris</v>
      </c>
      <c r="S850" s="53"/>
      <c r="T850" s="53"/>
      <c r="U850" s="53">
        <f>Table1[[#This Row],[Summa]]+Table1[[#This Row],[I Muudatus]]+Table1[[#This Row],[II Muudatus]]</f>
        <v>4474</v>
      </c>
    </row>
    <row r="851" spans="1:21" ht="14.25" hidden="1" customHeight="1" x14ac:dyDescent="0.25">
      <c r="A851" s="41" t="s">
        <v>1400</v>
      </c>
      <c r="B851" s="41">
        <f>11500+(0.66*6900)</f>
        <v>16054</v>
      </c>
      <c r="C851" s="52">
        <v>4528</v>
      </c>
      <c r="D851" s="52" t="str">
        <f>LEFT(Table1[[#This Row],[Eelarvekonto]],2)</f>
        <v>45</v>
      </c>
      <c r="E851" s="41" t="str">
        <f>VLOOKUP(Table1[[#This Row],[Eelarvekonto]],Table5[[Konto]:[Konto nimetus]],2,FALSE)</f>
        <v>Liikmemaksud</v>
      </c>
      <c r="F851" s="41" t="s">
        <v>139</v>
      </c>
      <c r="G851" s="41" t="s">
        <v>24</v>
      </c>
      <c r="J851" s="41" t="s">
        <v>139</v>
      </c>
      <c r="K851" s="41" t="s">
        <v>54</v>
      </c>
      <c r="L851" s="58" t="s">
        <v>743</v>
      </c>
      <c r="M851" s="58" t="str">
        <f>LEFT(Table1[[#This Row],[Tegevusala kood]],2)</f>
        <v>01</v>
      </c>
      <c r="N851" s="41" t="str">
        <f>VLOOKUP(Table1[[#This Row],[Tegevusala kood]],Table4[[Tegevusala kood]:[Tegevusala alanimetus]],2,FALSE)</f>
        <v>Üldiseloomuga ülekanded valitsussektoris</v>
      </c>
      <c r="O851" s="41" t="s">
        <v>1</v>
      </c>
      <c r="P851" s="41" t="s">
        <v>1</v>
      </c>
      <c r="Q851" s="41" t="str">
        <f>VLOOKUP(Table1[[#This Row],[Eelarvekonto]],Table5[[Konto]:[Kontode alanimetus]],5,FALSE)</f>
        <v>Mittesihtotstarbelised toetused</v>
      </c>
      <c r="R851" s="42" t="str">
        <f>VLOOKUP(Table1[[#This Row],[Tegevusala kood]],Table4[[Tegevusala kood]:[Tegevusala alanimetus]],4,FALSE)</f>
        <v>Üldiseloomuga ülekanded valitsussektoris</v>
      </c>
      <c r="S851" s="53"/>
      <c r="T851" s="53"/>
      <c r="U851" s="53">
        <f>Table1[[#This Row],[Summa]]+Table1[[#This Row],[I Muudatus]]+Table1[[#This Row],[II Muudatus]]</f>
        <v>16054</v>
      </c>
    </row>
    <row r="852" spans="1:21" ht="14.25" hidden="1" customHeight="1" x14ac:dyDescent="0.25">
      <c r="A852" s="41" t="s">
        <v>1401</v>
      </c>
      <c r="B852" s="41">
        <v>5828</v>
      </c>
      <c r="C852" s="52">
        <v>4528</v>
      </c>
      <c r="D852" s="52" t="str">
        <f>LEFT(Table1[[#This Row],[Eelarvekonto]],2)</f>
        <v>45</v>
      </c>
      <c r="E852" s="41" t="str">
        <f>VLOOKUP(Table1[[#This Row],[Eelarvekonto]],Table5[[Konto]:[Konto nimetus]],2,FALSE)</f>
        <v>Liikmemaksud</v>
      </c>
      <c r="F852" s="41" t="s">
        <v>139</v>
      </c>
      <c r="G852" s="41" t="s">
        <v>24</v>
      </c>
      <c r="J852" s="41" t="s">
        <v>139</v>
      </c>
      <c r="K852" s="41" t="s">
        <v>54</v>
      </c>
      <c r="L852" s="58" t="s">
        <v>743</v>
      </c>
      <c r="M852" s="58" t="str">
        <f>LEFT(Table1[[#This Row],[Tegevusala kood]],2)</f>
        <v>01</v>
      </c>
      <c r="N852" s="41" t="str">
        <f>VLOOKUP(Table1[[#This Row],[Tegevusala kood]],Table4[[Tegevusala kood]:[Tegevusala alanimetus]],2,FALSE)</f>
        <v>Üldiseloomuga ülekanded valitsussektoris</v>
      </c>
      <c r="O852" s="41" t="s">
        <v>1</v>
      </c>
      <c r="P852" s="41" t="s">
        <v>1</v>
      </c>
      <c r="Q852" s="41" t="str">
        <f>VLOOKUP(Table1[[#This Row],[Eelarvekonto]],Table5[[Konto]:[Kontode alanimetus]],5,FALSE)</f>
        <v>Mittesihtotstarbelised toetused</v>
      </c>
      <c r="R852" s="42" t="str">
        <f>VLOOKUP(Table1[[#This Row],[Tegevusala kood]],Table4[[Tegevusala kood]:[Tegevusala alanimetus]],4,FALSE)</f>
        <v>Üldiseloomuga ülekanded valitsussektoris</v>
      </c>
      <c r="S852" s="53"/>
      <c r="T852" s="53"/>
      <c r="U852" s="53">
        <f>Table1[[#This Row],[Summa]]+Table1[[#This Row],[I Muudatus]]+Table1[[#This Row],[II Muudatus]]</f>
        <v>5828</v>
      </c>
    </row>
    <row r="853" spans="1:21" ht="14.25" hidden="1" customHeight="1" x14ac:dyDescent="0.25">
      <c r="A853" s="41" t="s">
        <v>745</v>
      </c>
      <c r="B853" s="41">
        <v>2755</v>
      </c>
      <c r="C853" s="52">
        <v>4528</v>
      </c>
      <c r="D853" s="52" t="str">
        <f>LEFT(Table1[[#This Row],[Eelarvekonto]],2)</f>
        <v>45</v>
      </c>
      <c r="E853" s="41" t="str">
        <f>VLOOKUP(Table1[[#This Row],[Eelarvekonto]],Table5[[Konto]:[Konto nimetus]],2,FALSE)</f>
        <v>Liikmemaksud</v>
      </c>
      <c r="F853" s="41" t="s">
        <v>139</v>
      </c>
      <c r="G853" s="41" t="s">
        <v>24</v>
      </c>
      <c r="J853" s="41" t="s">
        <v>139</v>
      </c>
      <c r="K853" s="41" t="s">
        <v>54</v>
      </c>
      <c r="L853" s="58" t="s">
        <v>743</v>
      </c>
      <c r="M853" s="58" t="str">
        <f>LEFT(Table1[[#This Row],[Tegevusala kood]],2)</f>
        <v>01</v>
      </c>
      <c r="N853" s="41" t="str">
        <f>VLOOKUP(Table1[[#This Row],[Tegevusala kood]],Table4[[Tegevusala kood]:[Tegevusala alanimetus]],2,FALSE)</f>
        <v>Üldiseloomuga ülekanded valitsussektoris</v>
      </c>
      <c r="O853" s="41" t="s">
        <v>1</v>
      </c>
      <c r="P853" s="41" t="s">
        <v>1</v>
      </c>
      <c r="Q853" s="41" t="str">
        <f>VLOOKUP(Table1[[#This Row],[Eelarvekonto]],Table5[[Konto]:[Kontode alanimetus]],5,FALSE)</f>
        <v>Mittesihtotstarbelised toetused</v>
      </c>
      <c r="R853" s="42" t="str">
        <f>VLOOKUP(Table1[[#This Row],[Tegevusala kood]],Table4[[Tegevusala kood]:[Tegevusala alanimetus]],4,FALSE)</f>
        <v>Üldiseloomuga ülekanded valitsussektoris</v>
      </c>
      <c r="S853" s="53"/>
      <c r="T853" s="53"/>
      <c r="U853" s="53">
        <f>Table1[[#This Row],[Summa]]+Table1[[#This Row],[I Muudatus]]+Table1[[#This Row],[II Muudatus]]</f>
        <v>2755</v>
      </c>
    </row>
    <row r="854" spans="1:21" ht="14.25" hidden="1" customHeight="1" x14ac:dyDescent="0.25">
      <c r="A854" s="41" t="s">
        <v>744</v>
      </c>
      <c r="B854" s="41">
        <v>2000</v>
      </c>
      <c r="C854" s="52">
        <v>4528</v>
      </c>
      <c r="D854" s="52" t="str">
        <f>LEFT(Table1[[#This Row],[Eelarvekonto]],2)</f>
        <v>45</v>
      </c>
      <c r="E854" s="41" t="str">
        <f>VLOOKUP(Table1[[#This Row],[Eelarvekonto]],Table5[[Konto]:[Konto nimetus]],2,FALSE)</f>
        <v>Liikmemaksud</v>
      </c>
      <c r="F854" s="41" t="s">
        <v>139</v>
      </c>
      <c r="G854" s="41" t="s">
        <v>24</v>
      </c>
      <c r="J854" s="41" t="s">
        <v>139</v>
      </c>
      <c r="K854" s="41" t="s">
        <v>54</v>
      </c>
      <c r="L854" s="58" t="s">
        <v>743</v>
      </c>
      <c r="M854" s="58" t="str">
        <f>LEFT(Table1[[#This Row],[Tegevusala kood]],2)</f>
        <v>01</v>
      </c>
      <c r="N854" s="41" t="str">
        <f>VLOOKUP(Table1[[#This Row],[Tegevusala kood]],Table4[[Tegevusala kood]:[Tegevusala alanimetus]],2,FALSE)</f>
        <v>Üldiseloomuga ülekanded valitsussektoris</v>
      </c>
      <c r="O854" s="41" t="s">
        <v>1</v>
      </c>
      <c r="P854" s="41" t="s">
        <v>1</v>
      </c>
      <c r="Q854" s="41" t="str">
        <f>VLOOKUP(Table1[[#This Row],[Eelarvekonto]],Table5[[Konto]:[Kontode alanimetus]],5,FALSE)</f>
        <v>Mittesihtotstarbelised toetused</v>
      </c>
      <c r="R854" s="42" t="str">
        <f>VLOOKUP(Table1[[#This Row],[Tegevusala kood]],Table4[[Tegevusala kood]:[Tegevusala alanimetus]],4,FALSE)</f>
        <v>Üldiseloomuga ülekanded valitsussektoris</v>
      </c>
      <c r="S854" s="53"/>
      <c r="T854" s="53"/>
      <c r="U854" s="53">
        <f>Table1[[#This Row],[Summa]]+Table1[[#This Row],[I Muudatus]]+Table1[[#This Row],[II Muudatus]]</f>
        <v>2000</v>
      </c>
    </row>
    <row r="855" spans="1:21" ht="14.25" hidden="1" customHeight="1" x14ac:dyDescent="0.25">
      <c r="A855" s="42" t="s">
        <v>1167</v>
      </c>
      <c r="B855" s="42"/>
      <c r="C855" s="53">
        <v>5522</v>
      </c>
      <c r="D855" s="53" t="str">
        <f>LEFT(Table1[[#This Row],[Eelarvekonto]],2)</f>
        <v>55</v>
      </c>
      <c r="E855" s="42" t="str">
        <f>VLOOKUP(Table1[[#This Row],[Eelarvekonto]],Table5[[Konto]:[Konto nimetus]],2,FALSE)</f>
        <v>Meditsiinikulud ja hügieenikulud</v>
      </c>
      <c r="F855" s="42" t="s">
        <v>139</v>
      </c>
      <c r="G855" s="42" t="s">
        <v>24</v>
      </c>
      <c r="H855" s="42"/>
      <c r="I855" s="42"/>
      <c r="J855" s="42" t="s">
        <v>342</v>
      </c>
      <c r="K855" s="42" t="s">
        <v>341</v>
      </c>
      <c r="L855" s="81" t="s">
        <v>340</v>
      </c>
      <c r="M855" s="82" t="str">
        <f>LEFT(Table1[[#This Row],[Tegevusala kood]],2)</f>
        <v>09</v>
      </c>
      <c r="N855" s="53" t="str">
        <f>VLOOKUP(Table1[[#This Row],[Tegevusala kood]],Table4[[Tegevusala kood]:[Tegevusala alanimetus]],2,FALSE)</f>
        <v>Halduse tagatavad kulud</v>
      </c>
      <c r="O855" s="42"/>
      <c r="P855" s="42"/>
      <c r="Q855" s="53" t="str">
        <f>VLOOKUP(Table1[[#This Row],[Eelarvekonto]],Table5[[Konto]:[Kontode alanimetus]],5,FALSE)</f>
        <v>Majandamiskulud</v>
      </c>
      <c r="R855" s="53" t="str">
        <f>VLOOKUP(Table1[[#This Row],[Tegevusala kood]],Table4[[Tegevusala kood]:[Tegevusala alanimetus]],4,FALSE)</f>
        <v>Muu haridus, sh hariduse haldus</v>
      </c>
      <c r="S855" s="53"/>
      <c r="T855" s="53"/>
      <c r="U855" s="53">
        <f>Table1[[#This Row],[Summa]]+Table1[[#This Row],[I Muudatus]]+Table1[[#This Row],[II Muudatus]]</f>
        <v>0</v>
      </c>
    </row>
    <row r="856" spans="1:21" ht="14.25" hidden="1" customHeight="1" x14ac:dyDescent="0.25">
      <c r="A856" s="42" t="s">
        <v>1168</v>
      </c>
      <c r="B856" s="42">
        <v>3260.8</v>
      </c>
      <c r="C856" s="53">
        <v>5524</v>
      </c>
      <c r="D856" s="53" t="str">
        <f>LEFT(Table1[[#This Row],[Eelarvekonto]],2)</f>
        <v>55</v>
      </c>
      <c r="E856" s="42" t="str">
        <f>VLOOKUP(Table1[[#This Row],[Eelarvekonto]],Table5[[Konto]:[Konto nimetus]],2,FALSE)</f>
        <v>Õppevahendite ja koolituse kulud</v>
      </c>
      <c r="F856" s="42" t="s">
        <v>139</v>
      </c>
      <c r="G856" s="42" t="s">
        <v>24</v>
      </c>
      <c r="H856" s="42"/>
      <c r="I856" s="42"/>
      <c r="J856" s="42" t="s">
        <v>342</v>
      </c>
      <c r="K856" s="42" t="s">
        <v>341</v>
      </c>
      <c r="L856" s="81" t="s">
        <v>340</v>
      </c>
      <c r="M856" s="82" t="str">
        <f>LEFT(Table1[[#This Row],[Tegevusala kood]],2)</f>
        <v>09</v>
      </c>
      <c r="N856" s="53" t="str">
        <f>VLOOKUP(Table1[[#This Row],[Tegevusala kood]],Table4[[Tegevusala kood]:[Tegevusala alanimetus]],2,FALSE)</f>
        <v>Halduse tagatavad kulud</v>
      </c>
      <c r="O856" s="42"/>
      <c r="P856" s="42"/>
      <c r="Q856" s="53" t="str">
        <f>VLOOKUP(Table1[[#This Row],[Eelarvekonto]],Table5[[Konto]:[Kontode alanimetus]],5,FALSE)</f>
        <v>Majandamiskulud</v>
      </c>
      <c r="R856" s="53" t="str">
        <f>VLOOKUP(Table1[[#This Row],[Tegevusala kood]],Table4[[Tegevusala kood]:[Tegevusala alanimetus]],4,FALSE)</f>
        <v>Muu haridus, sh hariduse haldus</v>
      </c>
      <c r="S856" s="53"/>
      <c r="T856" s="53"/>
      <c r="U856" s="53">
        <f>Table1[[#This Row],[Summa]]+Table1[[#This Row],[I Muudatus]]+Table1[[#This Row],[II Muudatus]]</f>
        <v>3260.8</v>
      </c>
    </row>
    <row r="857" spans="1:21" ht="14.25" hidden="1" customHeight="1" x14ac:dyDescent="0.25">
      <c r="A857" s="42" t="s">
        <v>1000</v>
      </c>
      <c r="B857" s="42">
        <v>24960</v>
      </c>
      <c r="C857" s="53">
        <v>5524</v>
      </c>
      <c r="D857" s="53" t="str">
        <f>LEFT(Table1[[#This Row],[Eelarvekonto]],2)</f>
        <v>55</v>
      </c>
      <c r="E857" s="42" t="str">
        <f>VLOOKUP(Table1[[#This Row],[Eelarvekonto]],Table5[[Konto]:[Konto nimetus]],2,FALSE)</f>
        <v>Õppevahendite ja koolituse kulud</v>
      </c>
      <c r="F857" s="42" t="s">
        <v>139</v>
      </c>
      <c r="G857" s="42" t="s">
        <v>24</v>
      </c>
      <c r="H857" s="42"/>
      <c r="I857" s="42"/>
      <c r="J857" s="42" t="s">
        <v>342</v>
      </c>
      <c r="K857" s="42" t="s">
        <v>341</v>
      </c>
      <c r="L857" s="81" t="s">
        <v>340</v>
      </c>
      <c r="M857" s="82" t="str">
        <f>LEFT(Table1[[#This Row],[Tegevusala kood]],2)</f>
        <v>09</v>
      </c>
      <c r="N857" s="53" t="str">
        <f>VLOOKUP(Table1[[#This Row],[Tegevusala kood]],Table4[[Tegevusala kood]:[Tegevusala alanimetus]],2,FALSE)</f>
        <v>Halduse tagatavad kulud</v>
      </c>
      <c r="O857" s="42"/>
      <c r="P857" s="42"/>
      <c r="Q857" s="53" t="str">
        <f>VLOOKUP(Table1[[#This Row],[Eelarvekonto]],Table5[[Konto]:[Kontode alanimetus]],5,FALSE)</f>
        <v>Majandamiskulud</v>
      </c>
      <c r="R857" s="53" t="str">
        <f>VLOOKUP(Table1[[#This Row],[Tegevusala kood]],Table4[[Tegevusala kood]:[Tegevusala alanimetus]],4,FALSE)</f>
        <v>Muu haridus, sh hariduse haldus</v>
      </c>
      <c r="S857" s="53"/>
      <c r="T857" s="53"/>
      <c r="U857" s="53">
        <f>Table1[[#This Row],[Summa]]+Table1[[#This Row],[I Muudatus]]+Table1[[#This Row],[II Muudatus]]</f>
        <v>24960</v>
      </c>
    </row>
    <row r="858" spans="1:21" ht="14.25" hidden="1" customHeight="1" x14ac:dyDescent="0.25">
      <c r="A858" s="42" t="s">
        <v>1169</v>
      </c>
      <c r="B858" s="42">
        <v>10760</v>
      </c>
      <c r="C858" s="53">
        <v>5525</v>
      </c>
      <c r="D858" s="53" t="str">
        <f>LEFT(Table1[[#This Row],[Eelarvekonto]],2)</f>
        <v>55</v>
      </c>
      <c r="E858" s="42" t="str">
        <f>VLOOKUP(Table1[[#This Row],[Eelarvekonto]],Table5[[Konto]:[Konto nimetus]],2,FALSE)</f>
        <v>Kommunikatsiooni-, kultuuri- ja vaba aja sisustamise kulud</v>
      </c>
      <c r="F858" s="42" t="s">
        <v>139</v>
      </c>
      <c r="G858" s="42" t="s">
        <v>24</v>
      </c>
      <c r="H858" s="42"/>
      <c r="I858" s="42"/>
      <c r="J858" s="42" t="s">
        <v>212</v>
      </c>
      <c r="K858" s="42" t="s">
        <v>210</v>
      </c>
      <c r="L858" s="81" t="s">
        <v>211</v>
      </c>
      <c r="M858" s="82" t="str">
        <f>LEFT(Table1[[#This Row],[Tegevusala kood]],2)</f>
        <v>08</v>
      </c>
      <c r="N858" s="53" t="str">
        <f>VLOOKUP(Table1[[#This Row],[Tegevusala kood]],Table4[[Tegevusala kood]:[Tegevusala alanimetus]],2,FALSE)</f>
        <v>Pajusti klubi</v>
      </c>
      <c r="O858" s="42"/>
      <c r="P858" s="42"/>
      <c r="Q858" s="53" t="str">
        <f>VLOOKUP(Table1[[#This Row],[Eelarvekonto]],Table5[[Konto]:[Kontode alanimetus]],5,FALSE)</f>
        <v>Majandamiskulud</v>
      </c>
      <c r="R858" s="53" t="str">
        <f>VLOOKUP(Table1[[#This Row],[Tegevusala kood]],Table4[[Tegevusala kood]:[Tegevusala alanimetus]],4,FALSE)</f>
        <v>Rahvakultuur</v>
      </c>
      <c r="S858" s="53"/>
      <c r="T858" s="53"/>
      <c r="U858" s="53">
        <f>Table1[[#This Row],[Summa]]+Table1[[#This Row],[I Muudatus]]+Table1[[#This Row],[II Muudatus]]</f>
        <v>10760</v>
      </c>
    </row>
    <row r="859" spans="1:21" ht="14.25" hidden="1" customHeight="1" x14ac:dyDescent="0.25">
      <c r="A859" s="42" t="s">
        <v>1170</v>
      </c>
      <c r="B859" s="42">
        <v>600</v>
      </c>
      <c r="C859" s="53">
        <v>5540</v>
      </c>
      <c r="D859" s="53" t="str">
        <f>LEFT(Table1[[#This Row],[Eelarvekonto]],2)</f>
        <v>55</v>
      </c>
      <c r="E859" s="42" t="str">
        <f>VLOOKUP(Table1[[#This Row],[Eelarvekonto]],Table5[[Konto]:[Konto nimetus]],2,FALSE)</f>
        <v>Mitmesugused majanduskulud</v>
      </c>
      <c r="F859" s="42" t="s">
        <v>139</v>
      </c>
      <c r="G859" s="42" t="s">
        <v>24</v>
      </c>
      <c r="H859" s="42"/>
      <c r="I859" s="42"/>
      <c r="J859" s="42" t="s">
        <v>212</v>
      </c>
      <c r="K859" s="42" t="s">
        <v>210</v>
      </c>
      <c r="L859" s="81" t="s">
        <v>211</v>
      </c>
      <c r="M859" s="82" t="str">
        <f>LEFT(Table1[[#This Row],[Tegevusala kood]],2)</f>
        <v>08</v>
      </c>
      <c r="N859" s="53" t="str">
        <f>VLOOKUP(Table1[[#This Row],[Tegevusala kood]],Table4[[Tegevusala kood]:[Tegevusala alanimetus]],2,FALSE)</f>
        <v>Pajusti klubi</v>
      </c>
      <c r="O859" s="42"/>
      <c r="P859" s="42"/>
      <c r="Q859" s="53" t="str">
        <f>VLOOKUP(Table1[[#This Row],[Eelarvekonto]],Table5[[Konto]:[Kontode alanimetus]],5,FALSE)</f>
        <v>Majandamiskulud</v>
      </c>
      <c r="R859" s="53" t="str">
        <f>VLOOKUP(Table1[[#This Row],[Tegevusala kood]],Table4[[Tegevusala kood]:[Tegevusala alanimetus]],4,FALSE)</f>
        <v>Rahvakultuur</v>
      </c>
      <c r="S859" s="53"/>
      <c r="T859" s="53"/>
      <c r="U859" s="53">
        <f>Table1[[#This Row],[Summa]]+Table1[[#This Row],[I Muudatus]]+Table1[[#This Row],[II Muudatus]]</f>
        <v>600</v>
      </c>
    </row>
    <row r="860" spans="1:21" ht="14.25" hidden="1" customHeight="1" x14ac:dyDescent="0.25">
      <c r="A860" s="42" t="s">
        <v>161</v>
      </c>
      <c r="B860" s="42">
        <v>200</v>
      </c>
      <c r="C860" s="53">
        <v>5515</v>
      </c>
      <c r="D860" s="53" t="str">
        <f>LEFT(Table1[[#This Row],[Eelarvekonto]],2)</f>
        <v>55</v>
      </c>
      <c r="E860" s="42" t="str">
        <f>VLOOKUP(Table1[[#This Row],[Eelarvekonto]],Table5[[Konto]:[Konto nimetus]],2,FALSE)</f>
        <v>Inventari majandamiskulud</v>
      </c>
      <c r="F860" s="42" t="s">
        <v>139</v>
      </c>
      <c r="G860" s="42" t="s">
        <v>24</v>
      </c>
      <c r="H860" s="42"/>
      <c r="I860" s="42"/>
      <c r="J860" s="42" t="s">
        <v>212</v>
      </c>
      <c r="K860" s="42" t="s">
        <v>210</v>
      </c>
      <c r="L860" s="81" t="s">
        <v>211</v>
      </c>
      <c r="M860" s="82" t="str">
        <f>LEFT(Table1[[#This Row],[Tegevusala kood]],2)</f>
        <v>08</v>
      </c>
      <c r="N860" s="53" t="str">
        <f>VLOOKUP(Table1[[#This Row],[Tegevusala kood]],Table4[[Tegevusala kood]:[Tegevusala alanimetus]],2,FALSE)</f>
        <v>Pajusti klubi</v>
      </c>
      <c r="O860" s="42"/>
      <c r="P860" s="42"/>
      <c r="Q860" s="53" t="str">
        <f>VLOOKUP(Table1[[#This Row],[Eelarvekonto]],Table5[[Konto]:[Kontode alanimetus]],5,FALSE)</f>
        <v>Majandamiskulud</v>
      </c>
      <c r="R860" s="53" t="str">
        <f>VLOOKUP(Table1[[#This Row],[Tegevusala kood]],Table4[[Tegevusala kood]:[Tegevusala alanimetus]],4,FALSE)</f>
        <v>Rahvakultuur</v>
      </c>
      <c r="S860" s="53"/>
      <c r="T860" s="53"/>
      <c r="U860" s="53">
        <f>Table1[[#This Row],[Summa]]+Table1[[#This Row],[I Muudatus]]+Table1[[#This Row],[II Muudatus]]</f>
        <v>200</v>
      </c>
    </row>
    <row r="861" spans="1:21" ht="14.25" hidden="1" customHeight="1" x14ac:dyDescent="0.25">
      <c r="A861" s="42" t="s">
        <v>1171</v>
      </c>
      <c r="B861" s="42">
        <v>144</v>
      </c>
      <c r="C861" s="53">
        <v>5514</v>
      </c>
      <c r="D861" s="53" t="str">
        <f>LEFT(Table1[[#This Row],[Eelarvekonto]],2)</f>
        <v>55</v>
      </c>
      <c r="E861" s="42" t="str">
        <f>VLOOKUP(Table1[[#This Row],[Eelarvekonto]],Table5[[Konto]:[Konto nimetus]],2,FALSE)</f>
        <v>Info- ja kommunikatsioonitehnoloogia kulud</v>
      </c>
      <c r="F861" s="42" t="s">
        <v>139</v>
      </c>
      <c r="G861" s="42" t="s">
        <v>24</v>
      </c>
      <c r="H861" s="42"/>
      <c r="I861" s="42"/>
      <c r="J861" s="42" t="s">
        <v>212</v>
      </c>
      <c r="K861" s="42" t="s">
        <v>210</v>
      </c>
      <c r="L861" s="81" t="s">
        <v>211</v>
      </c>
      <c r="M861" s="82" t="str">
        <f>LEFT(Table1[[#This Row],[Tegevusala kood]],2)</f>
        <v>08</v>
      </c>
      <c r="N861" s="53" t="str">
        <f>VLOOKUP(Table1[[#This Row],[Tegevusala kood]],Table4[[Tegevusala kood]:[Tegevusala alanimetus]],2,FALSE)</f>
        <v>Pajusti klubi</v>
      </c>
      <c r="O861" s="42"/>
      <c r="P861" s="42"/>
      <c r="Q861" s="53" t="str">
        <f>VLOOKUP(Table1[[#This Row],[Eelarvekonto]],Table5[[Konto]:[Kontode alanimetus]],5,FALSE)</f>
        <v>Majandamiskulud</v>
      </c>
      <c r="R861" s="53" t="str">
        <f>VLOOKUP(Table1[[#This Row],[Tegevusala kood]],Table4[[Tegevusala kood]:[Tegevusala alanimetus]],4,FALSE)</f>
        <v>Rahvakultuur</v>
      </c>
      <c r="S861" s="53"/>
      <c r="T861" s="53"/>
      <c r="U861" s="53">
        <f>Table1[[#This Row],[Summa]]+Table1[[#This Row],[I Muudatus]]+Table1[[#This Row],[II Muudatus]]</f>
        <v>144</v>
      </c>
    </row>
    <row r="862" spans="1:21" ht="14.25" hidden="1" customHeight="1" x14ac:dyDescent="0.25">
      <c r="A862" s="42" t="s">
        <v>1172</v>
      </c>
      <c r="B862" s="42">
        <v>1200</v>
      </c>
      <c r="C862" s="53">
        <v>5500</v>
      </c>
      <c r="D862" s="53" t="str">
        <f>LEFT(Table1[[#This Row],[Eelarvekonto]],2)</f>
        <v>55</v>
      </c>
      <c r="E862" s="42" t="str">
        <f>VLOOKUP(Table1[[#This Row],[Eelarvekonto]],Table5[[Konto]:[Konto nimetus]],2,FALSE)</f>
        <v>Administreerimiskulud</v>
      </c>
      <c r="F862" s="42" t="s">
        <v>139</v>
      </c>
      <c r="G862" s="42" t="s">
        <v>24</v>
      </c>
      <c r="H862" s="42"/>
      <c r="I862" s="42"/>
      <c r="J862" s="42" t="s">
        <v>212</v>
      </c>
      <c r="K862" s="42" t="s">
        <v>210</v>
      </c>
      <c r="L862" s="81" t="s">
        <v>211</v>
      </c>
      <c r="M862" s="82" t="str">
        <f>LEFT(Table1[[#This Row],[Tegevusala kood]],2)</f>
        <v>08</v>
      </c>
      <c r="N862" s="53" t="str">
        <f>VLOOKUP(Table1[[#This Row],[Tegevusala kood]],Table4[[Tegevusala kood]:[Tegevusala alanimetus]],2,FALSE)</f>
        <v>Pajusti klubi</v>
      </c>
      <c r="O862" s="42"/>
      <c r="P862" s="42"/>
      <c r="Q862" s="53" t="str">
        <f>VLOOKUP(Table1[[#This Row],[Eelarvekonto]],Table5[[Konto]:[Kontode alanimetus]],5,FALSE)</f>
        <v>Majandamiskulud</v>
      </c>
      <c r="R862" s="53" t="str">
        <f>VLOOKUP(Table1[[#This Row],[Tegevusala kood]],Table4[[Tegevusala kood]:[Tegevusala alanimetus]],4,FALSE)</f>
        <v>Rahvakultuur</v>
      </c>
      <c r="S862" s="53"/>
      <c r="T862" s="53"/>
      <c r="U862" s="53">
        <f>Table1[[#This Row],[Summa]]+Table1[[#This Row],[I Muudatus]]+Table1[[#This Row],[II Muudatus]]</f>
        <v>1200</v>
      </c>
    </row>
    <row r="863" spans="1:21" ht="14.25" hidden="1" customHeight="1" x14ac:dyDescent="0.25">
      <c r="A863" s="42" t="s">
        <v>143</v>
      </c>
      <c r="B863" s="42">
        <v>1200</v>
      </c>
      <c r="C863" s="53">
        <v>5511</v>
      </c>
      <c r="D863" s="53" t="str">
        <f>LEFT(Table1[[#This Row],[Eelarvekonto]],2)</f>
        <v>55</v>
      </c>
      <c r="E863" s="42" t="str">
        <f>VLOOKUP(Table1[[#This Row],[Eelarvekonto]],Table5[[Konto]:[Konto nimetus]],2,FALSE)</f>
        <v>Kinnistute, hoonete ja ruumide majandamiskulud</v>
      </c>
      <c r="F863" s="42" t="s">
        <v>139</v>
      </c>
      <c r="G863" s="42" t="s">
        <v>24</v>
      </c>
      <c r="H863" s="42"/>
      <c r="I863" s="42"/>
      <c r="J863" s="42" t="s">
        <v>212</v>
      </c>
      <c r="K863" s="42" t="s">
        <v>210</v>
      </c>
      <c r="L863" s="81" t="s">
        <v>211</v>
      </c>
      <c r="M863" s="82" t="str">
        <f>LEFT(Table1[[#This Row],[Tegevusala kood]],2)</f>
        <v>08</v>
      </c>
      <c r="N863" s="53" t="str">
        <f>VLOOKUP(Table1[[#This Row],[Tegevusala kood]],Table4[[Tegevusala kood]:[Tegevusala alanimetus]],2,FALSE)</f>
        <v>Pajusti klubi</v>
      </c>
      <c r="O863" s="42"/>
      <c r="P863" s="42"/>
      <c r="Q863" s="53" t="str">
        <f>VLOOKUP(Table1[[#This Row],[Eelarvekonto]],Table5[[Konto]:[Kontode alanimetus]],5,FALSE)</f>
        <v>Majandamiskulud</v>
      </c>
      <c r="R863" s="53" t="str">
        <f>VLOOKUP(Table1[[#This Row],[Tegevusala kood]],Table4[[Tegevusala kood]:[Tegevusala alanimetus]],4,FALSE)</f>
        <v>Rahvakultuur</v>
      </c>
      <c r="S863" s="53"/>
      <c r="T863" s="53"/>
      <c r="U863" s="53">
        <f>Table1[[#This Row],[Summa]]+Table1[[#This Row],[I Muudatus]]+Table1[[#This Row],[II Muudatus]]</f>
        <v>1200</v>
      </c>
    </row>
    <row r="864" spans="1:21" ht="14.25" hidden="1" customHeight="1" x14ac:dyDescent="0.25">
      <c r="A864" s="42" t="s">
        <v>140</v>
      </c>
      <c r="B864" s="42">
        <v>800</v>
      </c>
      <c r="C864" s="53">
        <v>5504</v>
      </c>
      <c r="D864" s="53" t="str">
        <f>LEFT(Table1[[#This Row],[Eelarvekonto]],2)</f>
        <v>55</v>
      </c>
      <c r="E864" s="42" t="str">
        <f>VLOOKUP(Table1[[#This Row],[Eelarvekonto]],Table5[[Konto]:[Konto nimetus]],2,FALSE)</f>
        <v>Koolituskulud (sh koolituslähetus)</v>
      </c>
      <c r="F864" s="42" t="s">
        <v>139</v>
      </c>
      <c r="G864" s="42" t="s">
        <v>24</v>
      </c>
      <c r="H864" s="42"/>
      <c r="I864" s="42"/>
      <c r="J864" s="42" t="s">
        <v>212</v>
      </c>
      <c r="K864" s="42" t="s">
        <v>210</v>
      </c>
      <c r="L864" s="81" t="s">
        <v>211</v>
      </c>
      <c r="M864" s="82" t="str">
        <f>LEFT(Table1[[#This Row],[Tegevusala kood]],2)</f>
        <v>08</v>
      </c>
      <c r="N864" s="53" t="str">
        <f>VLOOKUP(Table1[[#This Row],[Tegevusala kood]],Table4[[Tegevusala kood]:[Tegevusala alanimetus]],2,FALSE)</f>
        <v>Pajusti klubi</v>
      </c>
      <c r="O864" s="42"/>
      <c r="P864" s="42"/>
      <c r="Q864" s="53" t="str">
        <f>VLOOKUP(Table1[[#This Row],[Eelarvekonto]],Table5[[Konto]:[Kontode alanimetus]],5,FALSE)</f>
        <v>Majandamiskulud</v>
      </c>
      <c r="R864" s="53" t="str">
        <f>VLOOKUP(Table1[[#This Row],[Tegevusala kood]],Table4[[Tegevusala kood]:[Tegevusala alanimetus]],4,FALSE)</f>
        <v>Rahvakultuur</v>
      </c>
      <c r="S864" s="53"/>
      <c r="T864" s="53"/>
      <c r="U864" s="53">
        <f>Table1[[#This Row],[Summa]]+Table1[[#This Row],[I Muudatus]]+Table1[[#This Row],[II Muudatus]]</f>
        <v>800</v>
      </c>
    </row>
    <row r="865" spans="1:21" ht="14.25" hidden="1" customHeight="1" x14ac:dyDescent="0.25">
      <c r="A865" s="42" t="s">
        <v>207</v>
      </c>
      <c r="B865" s="42">
        <v>600</v>
      </c>
      <c r="C865" s="53">
        <v>5500</v>
      </c>
      <c r="D865" s="53" t="str">
        <f>LEFT(Table1[[#This Row],[Eelarvekonto]],2)</f>
        <v>55</v>
      </c>
      <c r="E865" s="42" t="str">
        <f>VLOOKUP(Table1[[#This Row],[Eelarvekonto]],Table5[[Konto]:[Konto nimetus]],2,FALSE)</f>
        <v>Administreerimiskulud</v>
      </c>
      <c r="F865" s="42" t="s">
        <v>139</v>
      </c>
      <c r="G865" s="42" t="s">
        <v>24</v>
      </c>
      <c r="H865" s="42"/>
      <c r="I865" s="42"/>
      <c r="J865" s="42" t="s">
        <v>212</v>
      </c>
      <c r="K865" s="42" t="s">
        <v>210</v>
      </c>
      <c r="L865" s="81" t="s">
        <v>211</v>
      </c>
      <c r="M865" s="82" t="str">
        <f>LEFT(Table1[[#This Row],[Tegevusala kood]],2)</f>
        <v>08</v>
      </c>
      <c r="N865" s="53" t="str">
        <f>VLOOKUP(Table1[[#This Row],[Tegevusala kood]],Table4[[Tegevusala kood]:[Tegevusala alanimetus]],2,FALSE)</f>
        <v>Pajusti klubi</v>
      </c>
      <c r="O865" s="42"/>
      <c r="P865" s="42"/>
      <c r="Q865" s="53" t="str">
        <f>VLOOKUP(Table1[[#This Row],[Eelarvekonto]],Table5[[Konto]:[Kontode alanimetus]],5,FALSE)</f>
        <v>Majandamiskulud</v>
      </c>
      <c r="R865" s="53" t="str">
        <f>VLOOKUP(Table1[[#This Row],[Tegevusala kood]],Table4[[Tegevusala kood]:[Tegevusala alanimetus]],4,FALSE)</f>
        <v>Rahvakultuur</v>
      </c>
      <c r="S865" s="53"/>
      <c r="T865" s="53"/>
      <c r="U865" s="53">
        <f>Table1[[#This Row],[Summa]]+Table1[[#This Row],[I Muudatus]]+Table1[[#This Row],[II Muudatus]]</f>
        <v>600</v>
      </c>
    </row>
    <row r="866" spans="1:21" ht="14.25" hidden="1" customHeight="1" x14ac:dyDescent="0.25">
      <c r="A866" s="42" t="s">
        <v>958</v>
      </c>
      <c r="B866" s="42">
        <v>900</v>
      </c>
      <c r="C866" s="53">
        <v>5511</v>
      </c>
      <c r="D866" s="53" t="str">
        <f>LEFT(Table1[[#This Row],[Eelarvekonto]],2)</f>
        <v>55</v>
      </c>
      <c r="E866" s="42" t="str">
        <f>VLOOKUP(Table1[[#This Row],[Eelarvekonto]],Table5[[Konto]:[Konto nimetus]],2,FALSE)</f>
        <v>Kinnistute, hoonete ja ruumide majandamiskulud</v>
      </c>
      <c r="F866" s="42" t="s">
        <v>139</v>
      </c>
      <c r="G866" s="42" t="s">
        <v>24</v>
      </c>
      <c r="H866" s="42"/>
      <c r="I866" s="42"/>
      <c r="J866" s="42" t="s">
        <v>290</v>
      </c>
      <c r="K866" s="42" t="s">
        <v>288</v>
      </c>
      <c r="L866" s="81" t="s">
        <v>289</v>
      </c>
      <c r="M866" s="82" t="str">
        <f>LEFT(Table1[[#This Row],[Tegevusala kood]],2)</f>
        <v>09</v>
      </c>
      <c r="N866" s="53" t="str">
        <f>VLOOKUP(Table1[[#This Row],[Tegevusala kood]],Table4[[Tegevusala kood]:[Tegevusala alanimetus]],2,FALSE)</f>
        <v>Laekvere Lasteaed</v>
      </c>
      <c r="O866" s="42"/>
      <c r="P866" s="42"/>
      <c r="Q866" s="53" t="str">
        <f>VLOOKUP(Table1[[#This Row],[Eelarvekonto]],Table5[[Konto]:[Kontode alanimetus]],5,FALSE)</f>
        <v>Majandamiskulud</v>
      </c>
      <c r="R866" s="53" t="str">
        <f>VLOOKUP(Table1[[#This Row],[Tegevusala kood]],Table4[[Tegevusala kood]:[Tegevusala alanimetus]],4,FALSE)</f>
        <v>Alusharidus</v>
      </c>
      <c r="S866" s="53"/>
      <c r="T866" s="53"/>
      <c r="U866" s="53">
        <f>Table1[[#This Row],[Summa]]+Table1[[#This Row],[I Muudatus]]+Table1[[#This Row],[II Muudatus]]</f>
        <v>900</v>
      </c>
    </row>
    <row r="867" spans="1:21" ht="14.25" hidden="1" customHeight="1" x14ac:dyDescent="0.25">
      <c r="A867" s="42" t="s">
        <v>309</v>
      </c>
      <c r="B867" s="42">
        <v>100</v>
      </c>
      <c r="C867" s="53">
        <v>5500</v>
      </c>
      <c r="D867" s="53" t="str">
        <f>LEFT(Table1[[#This Row],[Eelarvekonto]],2)</f>
        <v>55</v>
      </c>
      <c r="E867" s="42" t="str">
        <f>VLOOKUP(Table1[[#This Row],[Eelarvekonto]],Table5[[Konto]:[Konto nimetus]],2,FALSE)</f>
        <v>Administreerimiskulud</v>
      </c>
      <c r="F867" s="42" t="s">
        <v>139</v>
      </c>
      <c r="G867" s="42" t="s">
        <v>24</v>
      </c>
      <c r="H867" s="42"/>
      <c r="I867" s="42"/>
      <c r="J867" s="42" t="s">
        <v>290</v>
      </c>
      <c r="K867" s="42" t="s">
        <v>288</v>
      </c>
      <c r="L867" s="81" t="s">
        <v>289</v>
      </c>
      <c r="M867" s="82" t="str">
        <f>LEFT(Table1[[#This Row],[Tegevusala kood]],2)</f>
        <v>09</v>
      </c>
      <c r="N867" s="53" t="str">
        <f>VLOOKUP(Table1[[#This Row],[Tegevusala kood]],Table4[[Tegevusala kood]:[Tegevusala alanimetus]],2,FALSE)</f>
        <v>Laekvere Lasteaed</v>
      </c>
      <c r="O867" s="42"/>
      <c r="P867" s="42"/>
      <c r="Q867" s="53" t="str">
        <f>VLOOKUP(Table1[[#This Row],[Eelarvekonto]],Table5[[Konto]:[Kontode alanimetus]],5,FALSE)</f>
        <v>Majandamiskulud</v>
      </c>
      <c r="R867" s="53" t="str">
        <f>VLOOKUP(Table1[[#This Row],[Tegevusala kood]],Table4[[Tegevusala kood]:[Tegevusala alanimetus]],4,FALSE)</f>
        <v>Alusharidus</v>
      </c>
      <c r="S867" s="53"/>
      <c r="T867" s="53"/>
      <c r="U867" s="53">
        <f>Table1[[#This Row],[Summa]]+Table1[[#This Row],[I Muudatus]]+Table1[[#This Row],[II Muudatus]]</f>
        <v>100</v>
      </c>
    </row>
    <row r="868" spans="1:21" ht="14.25" hidden="1" customHeight="1" x14ac:dyDescent="0.25">
      <c r="A868" s="42" t="s">
        <v>207</v>
      </c>
      <c r="B868" s="42">
        <v>300</v>
      </c>
      <c r="C868" s="53">
        <v>5500</v>
      </c>
      <c r="D868" s="53" t="str">
        <f>LEFT(Table1[[#This Row],[Eelarvekonto]],2)</f>
        <v>55</v>
      </c>
      <c r="E868" s="42" t="str">
        <f>VLOOKUP(Table1[[#This Row],[Eelarvekonto]],Table5[[Konto]:[Konto nimetus]],2,FALSE)</f>
        <v>Administreerimiskulud</v>
      </c>
      <c r="F868" s="42" t="s">
        <v>139</v>
      </c>
      <c r="G868" s="42" t="s">
        <v>24</v>
      </c>
      <c r="H868" s="42"/>
      <c r="I868" s="42"/>
      <c r="J868" s="42" t="s">
        <v>290</v>
      </c>
      <c r="K868" s="42" t="s">
        <v>288</v>
      </c>
      <c r="L868" s="81" t="s">
        <v>289</v>
      </c>
      <c r="M868" s="82" t="str">
        <f>LEFT(Table1[[#This Row],[Tegevusala kood]],2)</f>
        <v>09</v>
      </c>
      <c r="N868" s="53" t="str">
        <f>VLOOKUP(Table1[[#This Row],[Tegevusala kood]],Table4[[Tegevusala kood]:[Tegevusala alanimetus]],2,FALSE)</f>
        <v>Laekvere Lasteaed</v>
      </c>
      <c r="O868" s="42"/>
      <c r="P868" s="42"/>
      <c r="Q868" s="53" t="str">
        <f>VLOOKUP(Table1[[#This Row],[Eelarvekonto]],Table5[[Konto]:[Kontode alanimetus]],5,FALSE)</f>
        <v>Majandamiskulud</v>
      </c>
      <c r="R868" s="53" t="str">
        <f>VLOOKUP(Table1[[#This Row],[Tegevusala kood]],Table4[[Tegevusala kood]:[Tegevusala alanimetus]],4,FALSE)</f>
        <v>Alusharidus</v>
      </c>
      <c r="S868" s="53"/>
      <c r="T868" s="53"/>
      <c r="U868" s="53">
        <f>Table1[[#This Row],[Summa]]+Table1[[#This Row],[I Muudatus]]+Table1[[#This Row],[II Muudatus]]</f>
        <v>300</v>
      </c>
    </row>
    <row r="869" spans="1:21" ht="14.25" hidden="1" customHeight="1" x14ac:dyDescent="0.25">
      <c r="A869" s="42" t="s">
        <v>187</v>
      </c>
      <c r="B869" s="42">
        <v>400</v>
      </c>
      <c r="C869" s="53">
        <v>5500</v>
      </c>
      <c r="D869" s="53" t="str">
        <f>LEFT(Table1[[#This Row],[Eelarvekonto]],2)</f>
        <v>55</v>
      </c>
      <c r="E869" s="42" t="str">
        <f>VLOOKUP(Table1[[#This Row],[Eelarvekonto]],Table5[[Konto]:[Konto nimetus]],2,FALSE)</f>
        <v>Administreerimiskulud</v>
      </c>
      <c r="F869" s="42" t="s">
        <v>139</v>
      </c>
      <c r="G869" s="42" t="s">
        <v>24</v>
      </c>
      <c r="H869" s="42"/>
      <c r="I869" s="42"/>
      <c r="J869" s="42" t="s">
        <v>290</v>
      </c>
      <c r="K869" s="42" t="s">
        <v>288</v>
      </c>
      <c r="L869" s="81" t="s">
        <v>289</v>
      </c>
      <c r="M869" s="82" t="str">
        <f>LEFT(Table1[[#This Row],[Tegevusala kood]],2)</f>
        <v>09</v>
      </c>
      <c r="N869" s="53" t="str">
        <f>VLOOKUP(Table1[[#This Row],[Tegevusala kood]],Table4[[Tegevusala kood]:[Tegevusala alanimetus]],2,FALSE)</f>
        <v>Laekvere Lasteaed</v>
      </c>
      <c r="O869" s="42"/>
      <c r="P869" s="42"/>
      <c r="Q869" s="53" t="str">
        <f>VLOOKUP(Table1[[#This Row],[Eelarvekonto]],Table5[[Konto]:[Kontode alanimetus]],5,FALSE)</f>
        <v>Majandamiskulud</v>
      </c>
      <c r="R869" s="53" t="str">
        <f>VLOOKUP(Table1[[#This Row],[Tegevusala kood]],Table4[[Tegevusala kood]:[Tegevusala alanimetus]],4,FALSE)</f>
        <v>Alusharidus</v>
      </c>
      <c r="S869" s="53"/>
      <c r="T869" s="53"/>
      <c r="U869" s="53">
        <f>Table1[[#This Row],[Summa]]+Table1[[#This Row],[I Muudatus]]+Table1[[#This Row],[II Muudatus]]</f>
        <v>400</v>
      </c>
    </row>
    <row r="870" spans="1:21" ht="14.25" hidden="1" customHeight="1" x14ac:dyDescent="0.25">
      <c r="A870" s="42" t="s">
        <v>239</v>
      </c>
      <c r="B870" s="42">
        <v>600</v>
      </c>
      <c r="C870" s="53">
        <v>5500</v>
      </c>
      <c r="D870" s="53" t="str">
        <f>LEFT(Table1[[#This Row],[Eelarvekonto]],2)</f>
        <v>55</v>
      </c>
      <c r="E870" s="42" t="str">
        <f>VLOOKUP(Table1[[#This Row],[Eelarvekonto]],Table5[[Konto]:[Konto nimetus]],2,FALSE)</f>
        <v>Administreerimiskulud</v>
      </c>
      <c r="F870" s="42" t="s">
        <v>139</v>
      </c>
      <c r="G870" s="42" t="s">
        <v>24</v>
      </c>
      <c r="H870" s="42"/>
      <c r="I870" s="42"/>
      <c r="J870" s="42" t="s">
        <v>290</v>
      </c>
      <c r="K870" s="42" t="s">
        <v>288</v>
      </c>
      <c r="L870" s="81" t="s">
        <v>289</v>
      </c>
      <c r="M870" s="82" t="str">
        <f>LEFT(Table1[[#This Row],[Tegevusala kood]],2)</f>
        <v>09</v>
      </c>
      <c r="N870" s="53" t="str">
        <f>VLOOKUP(Table1[[#This Row],[Tegevusala kood]],Table4[[Tegevusala kood]:[Tegevusala alanimetus]],2,FALSE)</f>
        <v>Laekvere Lasteaed</v>
      </c>
      <c r="O870" s="42"/>
      <c r="P870" s="42"/>
      <c r="Q870" s="53" t="str">
        <f>VLOOKUP(Table1[[#This Row],[Eelarvekonto]],Table5[[Konto]:[Kontode alanimetus]],5,FALSE)</f>
        <v>Majandamiskulud</v>
      </c>
      <c r="R870" s="53" t="str">
        <f>VLOOKUP(Table1[[#This Row],[Tegevusala kood]],Table4[[Tegevusala kood]:[Tegevusala alanimetus]],4,FALSE)</f>
        <v>Alusharidus</v>
      </c>
      <c r="S870" s="53"/>
      <c r="T870" s="53"/>
      <c r="U870" s="53">
        <f>Table1[[#This Row],[Summa]]+Table1[[#This Row],[I Muudatus]]+Table1[[#This Row],[II Muudatus]]</f>
        <v>600</v>
      </c>
    </row>
    <row r="871" spans="1:21" ht="14.25" hidden="1" customHeight="1" x14ac:dyDescent="0.25">
      <c r="A871" s="42" t="s">
        <v>140</v>
      </c>
      <c r="B871" s="42">
        <v>500</v>
      </c>
      <c r="C871" s="53">
        <v>5504</v>
      </c>
      <c r="D871" s="53" t="str">
        <f>LEFT(Table1[[#This Row],[Eelarvekonto]],2)</f>
        <v>55</v>
      </c>
      <c r="E871" s="42" t="str">
        <f>VLOOKUP(Table1[[#This Row],[Eelarvekonto]],Table5[[Konto]:[Konto nimetus]],2,FALSE)</f>
        <v>Koolituskulud (sh koolituslähetus)</v>
      </c>
      <c r="F871" s="42" t="s">
        <v>139</v>
      </c>
      <c r="G871" s="42" t="s">
        <v>24</v>
      </c>
      <c r="H871" s="42"/>
      <c r="I871" s="42"/>
      <c r="J871" s="42" t="s">
        <v>290</v>
      </c>
      <c r="K871" s="42" t="s">
        <v>288</v>
      </c>
      <c r="L871" s="81" t="s">
        <v>289</v>
      </c>
      <c r="M871" s="82" t="str">
        <f>LEFT(Table1[[#This Row],[Tegevusala kood]],2)</f>
        <v>09</v>
      </c>
      <c r="N871" s="53" t="str">
        <f>VLOOKUP(Table1[[#This Row],[Tegevusala kood]],Table4[[Tegevusala kood]:[Tegevusala alanimetus]],2,FALSE)</f>
        <v>Laekvere Lasteaed</v>
      </c>
      <c r="O871" s="42"/>
      <c r="P871" s="42"/>
      <c r="Q871" s="53" t="str">
        <f>VLOOKUP(Table1[[#This Row],[Eelarvekonto]],Table5[[Konto]:[Kontode alanimetus]],5,FALSE)</f>
        <v>Majandamiskulud</v>
      </c>
      <c r="R871" s="53" t="str">
        <f>VLOOKUP(Table1[[#This Row],[Tegevusala kood]],Table4[[Tegevusala kood]:[Tegevusala alanimetus]],4,FALSE)</f>
        <v>Alusharidus</v>
      </c>
      <c r="S871" s="53"/>
      <c r="T871" s="53"/>
      <c r="U871" s="53">
        <f>Table1[[#This Row],[Summa]]+Table1[[#This Row],[I Muudatus]]+Table1[[#This Row],[II Muudatus]]</f>
        <v>500</v>
      </c>
    </row>
    <row r="872" spans="1:21" ht="14.25" hidden="1" customHeight="1" x14ac:dyDescent="0.25">
      <c r="A872" s="42" t="s">
        <v>143</v>
      </c>
      <c r="B872" s="42">
        <v>2400</v>
      </c>
      <c r="C872" s="53">
        <v>5511</v>
      </c>
      <c r="D872" s="53" t="str">
        <f>LEFT(Table1[[#This Row],[Eelarvekonto]],2)</f>
        <v>55</v>
      </c>
      <c r="E872" s="42" t="str">
        <f>VLOOKUP(Table1[[#This Row],[Eelarvekonto]],Table5[[Konto]:[Konto nimetus]],2,FALSE)</f>
        <v>Kinnistute, hoonete ja ruumide majandamiskulud</v>
      </c>
      <c r="F872" s="42" t="s">
        <v>139</v>
      </c>
      <c r="G872" s="42" t="s">
        <v>24</v>
      </c>
      <c r="H872" s="42"/>
      <c r="I872" s="42"/>
      <c r="J872" s="42" t="s">
        <v>290</v>
      </c>
      <c r="K872" s="42" t="s">
        <v>288</v>
      </c>
      <c r="L872" s="81" t="s">
        <v>289</v>
      </c>
      <c r="M872" s="82" t="str">
        <f>LEFT(Table1[[#This Row],[Tegevusala kood]],2)</f>
        <v>09</v>
      </c>
      <c r="N872" s="53" t="str">
        <f>VLOOKUP(Table1[[#This Row],[Tegevusala kood]],Table4[[Tegevusala kood]:[Tegevusala alanimetus]],2,FALSE)</f>
        <v>Laekvere Lasteaed</v>
      </c>
      <c r="O872" s="42"/>
      <c r="P872" s="42"/>
      <c r="Q872" s="53" t="str">
        <f>VLOOKUP(Table1[[#This Row],[Eelarvekonto]],Table5[[Konto]:[Kontode alanimetus]],5,FALSE)</f>
        <v>Majandamiskulud</v>
      </c>
      <c r="R872" s="53" t="str">
        <f>VLOOKUP(Table1[[#This Row],[Tegevusala kood]],Table4[[Tegevusala kood]:[Tegevusala alanimetus]],4,FALSE)</f>
        <v>Alusharidus</v>
      </c>
      <c r="S872" s="53"/>
      <c r="T872" s="53"/>
      <c r="U872" s="53">
        <f>Table1[[#This Row],[Summa]]+Table1[[#This Row],[I Muudatus]]+Table1[[#This Row],[II Muudatus]]</f>
        <v>2400</v>
      </c>
    </row>
    <row r="873" spans="1:21" ht="14.25" hidden="1" customHeight="1" x14ac:dyDescent="0.25">
      <c r="A873" s="42" t="s">
        <v>1173</v>
      </c>
      <c r="B873" s="42">
        <v>300</v>
      </c>
      <c r="C873" s="53">
        <v>5511</v>
      </c>
      <c r="D873" s="53" t="str">
        <f>LEFT(Table1[[#This Row],[Eelarvekonto]],2)</f>
        <v>55</v>
      </c>
      <c r="E873" s="42" t="str">
        <f>VLOOKUP(Table1[[#This Row],[Eelarvekonto]],Table5[[Konto]:[Konto nimetus]],2,FALSE)</f>
        <v>Kinnistute, hoonete ja ruumide majandamiskulud</v>
      </c>
      <c r="F873" s="42" t="s">
        <v>139</v>
      </c>
      <c r="G873" s="42" t="s">
        <v>24</v>
      </c>
      <c r="H873" s="42"/>
      <c r="I873" s="42"/>
      <c r="J873" s="42" t="s">
        <v>290</v>
      </c>
      <c r="K873" s="42" t="s">
        <v>288</v>
      </c>
      <c r="L873" s="81" t="s">
        <v>289</v>
      </c>
      <c r="M873" s="82" t="str">
        <f>LEFT(Table1[[#This Row],[Tegevusala kood]],2)</f>
        <v>09</v>
      </c>
      <c r="N873" s="53" t="str">
        <f>VLOOKUP(Table1[[#This Row],[Tegevusala kood]],Table4[[Tegevusala kood]:[Tegevusala alanimetus]],2,FALSE)</f>
        <v>Laekvere Lasteaed</v>
      </c>
      <c r="O873" s="42"/>
      <c r="P873" s="42"/>
      <c r="Q873" s="53" t="str">
        <f>VLOOKUP(Table1[[#This Row],[Eelarvekonto]],Table5[[Konto]:[Kontode alanimetus]],5,FALSE)</f>
        <v>Majandamiskulud</v>
      </c>
      <c r="R873" s="53" t="str">
        <f>VLOOKUP(Table1[[#This Row],[Tegevusala kood]],Table4[[Tegevusala kood]:[Tegevusala alanimetus]],4,FALSE)</f>
        <v>Alusharidus</v>
      </c>
      <c r="S873" s="53"/>
      <c r="T873" s="53"/>
      <c r="U873" s="53">
        <f>Table1[[#This Row],[Summa]]+Table1[[#This Row],[I Muudatus]]+Table1[[#This Row],[II Muudatus]]</f>
        <v>300</v>
      </c>
    </row>
    <row r="874" spans="1:21" ht="14.25" hidden="1" customHeight="1" x14ac:dyDescent="0.25">
      <c r="A874" s="42" t="s">
        <v>163</v>
      </c>
      <c r="B874" s="42">
        <v>200</v>
      </c>
      <c r="C874" s="53">
        <v>5511</v>
      </c>
      <c r="D874" s="53" t="str">
        <f>LEFT(Table1[[#This Row],[Eelarvekonto]],2)</f>
        <v>55</v>
      </c>
      <c r="E874" s="42" t="str">
        <f>VLOOKUP(Table1[[#This Row],[Eelarvekonto]],Table5[[Konto]:[Konto nimetus]],2,FALSE)</f>
        <v>Kinnistute, hoonete ja ruumide majandamiskulud</v>
      </c>
      <c r="F874" s="42" t="s">
        <v>139</v>
      </c>
      <c r="G874" s="42" t="s">
        <v>24</v>
      </c>
      <c r="H874" s="42"/>
      <c r="I874" s="42"/>
      <c r="J874" s="42" t="s">
        <v>290</v>
      </c>
      <c r="K874" s="42" t="s">
        <v>288</v>
      </c>
      <c r="L874" s="81" t="s">
        <v>289</v>
      </c>
      <c r="M874" s="82" t="str">
        <f>LEFT(Table1[[#This Row],[Tegevusala kood]],2)</f>
        <v>09</v>
      </c>
      <c r="N874" s="53" t="str">
        <f>VLOOKUP(Table1[[#This Row],[Tegevusala kood]],Table4[[Tegevusala kood]:[Tegevusala alanimetus]],2,FALSE)</f>
        <v>Laekvere Lasteaed</v>
      </c>
      <c r="O874" s="42"/>
      <c r="P874" s="42"/>
      <c r="Q874" s="53" t="str">
        <f>VLOOKUP(Table1[[#This Row],[Eelarvekonto]],Table5[[Konto]:[Kontode alanimetus]],5,FALSE)</f>
        <v>Majandamiskulud</v>
      </c>
      <c r="R874" s="53" t="str">
        <f>VLOOKUP(Table1[[#This Row],[Tegevusala kood]],Table4[[Tegevusala kood]:[Tegevusala alanimetus]],4,FALSE)</f>
        <v>Alusharidus</v>
      </c>
      <c r="S874" s="53"/>
      <c r="T874" s="53"/>
      <c r="U874" s="53">
        <f>Table1[[#This Row],[Summa]]+Table1[[#This Row],[I Muudatus]]+Table1[[#This Row],[II Muudatus]]</f>
        <v>200</v>
      </c>
    </row>
    <row r="875" spans="1:21" ht="14.25" hidden="1" customHeight="1" x14ac:dyDescent="0.25">
      <c r="A875" s="42" t="s">
        <v>1174</v>
      </c>
      <c r="B875" s="42">
        <v>250</v>
      </c>
      <c r="C875" s="53">
        <v>5514</v>
      </c>
      <c r="D875" s="53" t="str">
        <f>LEFT(Table1[[#This Row],[Eelarvekonto]],2)</f>
        <v>55</v>
      </c>
      <c r="E875" s="42" t="str">
        <f>VLOOKUP(Table1[[#This Row],[Eelarvekonto]],Table5[[Konto]:[Konto nimetus]],2,FALSE)</f>
        <v>Info- ja kommunikatsioonitehnoloogia kulud</v>
      </c>
      <c r="F875" s="42" t="s">
        <v>139</v>
      </c>
      <c r="G875" s="42" t="s">
        <v>24</v>
      </c>
      <c r="H875" s="42"/>
      <c r="I875" s="42"/>
      <c r="J875" s="42" t="s">
        <v>290</v>
      </c>
      <c r="K875" s="42" t="s">
        <v>288</v>
      </c>
      <c r="L875" s="81" t="s">
        <v>289</v>
      </c>
      <c r="M875" s="82" t="str">
        <f>LEFT(Table1[[#This Row],[Tegevusala kood]],2)</f>
        <v>09</v>
      </c>
      <c r="N875" s="53" t="str">
        <f>VLOOKUP(Table1[[#This Row],[Tegevusala kood]],Table4[[Tegevusala kood]:[Tegevusala alanimetus]],2,FALSE)</f>
        <v>Laekvere Lasteaed</v>
      </c>
      <c r="O875" s="42"/>
      <c r="P875" s="42"/>
      <c r="Q875" s="53" t="str">
        <f>VLOOKUP(Table1[[#This Row],[Eelarvekonto]],Table5[[Konto]:[Kontode alanimetus]],5,FALSE)</f>
        <v>Majandamiskulud</v>
      </c>
      <c r="R875" s="53" t="str">
        <f>VLOOKUP(Table1[[#This Row],[Tegevusala kood]],Table4[[Tegevusala kood]:[Tegevusala alanimetus]],4,FALSE)</f>
        <v>Alusharidus</v>
      </c>
      <c r="S875" s="53"/>
      <c r="T875" s="53"/>
      <c r="U875" s="53">
        <f>Table1[[#This Row],[Summa]]+Table1[[#This Row],[I Muudatus]]+Table1[[#This Row],[II Muudatus]]</f>
        <v>250</v>
      </c>
    </row>
    <row r="876" spans="1:21" ht="14.25" hidden="1" customHeight="1" x14ac:dyDescent="0.25">
      <c r="A876" s="42" t="s">
        <v>1175</v>
      </c>
      <c r="B876" s="42">
        <v>100</v>
      </c>
      <c r="C876" s="53">
        <v>5514</v>
      </c>
      <c r="D876" s="53" t="str">
        <f>LEFT(Table1[[#This Row],[Eelarvekonto]],2)</f>
        <v>55</v>
      </c>
      <c r="E876" s="42" t="str">
        <f>VLOOKUP(Table1[[#This Row],[Eelarvekonto]],Table5[[Konto]:[Konto nimetus]],2,FALSE)</f>
        <v>Info- ja kommunikatsioonitehnoloogia kulud</v>
      </c>
      <c r="F876" s="42" t="s">
        <v>139</v>
      </c>
      <c r="G876" s="42" t="s">
        <v>24</v>
      </c>
      <c r="H876" s="42"/>
      <c r="I876" s="42"/>
      <c r="J876" s="42" t="s">
        <v>290</v>
      </c>
      <c r="K876" s="42" t="s">
        <v>288</v>
      </c>
      <c r="L876" s="81" t="s">
        <v>289</v>
      </c>
      <c r="M876" s="82" t="str">
        <f>LEFT(Table1[[#This Row],[Tegevusala kood]],2)</f>
        <v>09</v>
      </c>
      <c r="N876" s="53" t="str">
        <f>VLOOKUP(Table1[[#This Row],[Tegevusala kood]],Table4[[Tegevusala kood]:[Tegevusala alanimetus]],2,FALSE)</f>
        <v>Laekvere Lasteaed</v>
      </c>
      <c r="O876" s="42"/>
      <c r="P876" s="42"/>
      <c r="Q876" s="53" t="str">
        <f>VLOOKUP(Table1[[#This Row],[Eelarvekonto]],Table5[[Konto]:[Kontode alanimetus]],5,FALSE)</f>
        <v>Majandamiskulud</v>
      </c>
      <c r="R876" s="53" t="str">
        <f>VLOOKUP(Table1[[#This Row],[Tegevusala kood]],Table4[[Tegevusala kood]:[Tegevusala alanimetus]],4,FALSE)</f>
        <v>Alusharidus</v>
      </c>
      <c r="S876" s="53"/>
      <c r="T876" s="53"/>
      <c r="U876" s="53">
        <f>Table1[[#This Row],[Summa]]+Table1[[#This Row],[I Muudatus]]+Table1[[#This Row],[II Muudatus]]</f>
        <v>100</v>
      </c>
    </row>
    <row r="877" spans="1:21" ht="14.25" hidden="1" customHeight="1" x14ac:dyDescent="0.25">
      <c r="A877" s="42" t="s">
        <v>1176</v>
      </c>
      <c r="B877" s="42">
        <v>100</v>
      </c>
      <c r="C877" s="53">
        <v>5514</v>
      </c>
      <c r="D877" s="53" t="str">
        <f>LEFT(Table1[[#This Row],[Eelarvekonto]],2)</f>
        <v>55</v>
      </c>
      <c r="E877" s="42" t="str">
        <f>VLOOKUP(Table1[[#This Row],[Eelarvekonto]],Table5[[Konto]:[Konto nimetus]],2,FALSE)</f>
        <v>Info- ja kommunikatsioonitehnoloogia kulud</v>
      </c>
      <c r="F877" s="42" t="s">
        <v>139</v>
      </c>
      <c r="G877" s="42" t="s">
        <v>24</v>
      </c>
      <c r="H877" s="42"/>
      <c r="I877" s="42"/>
      <c r="J877" s="42" t="s">
        <v>290</v>
      </c>
      <c r="K877" s="42" t="s">
        <v>288</v>
      </c>
      <c r="L877" s="81" t="s">
        <v>289</v>
      </c>
      <c r="M877" s="82" t="str">
        <f>LEFT(Table1[[#This Row],[Tegevusala kood]],2)</f>
        <v>09</v>
      </c>
      <c r="N877" s="53" t="str">
        <f>VLOOKUP(Table1[[#This Row],[Tegevusala kood]],Table4[[Tegevusala kood]:[Tegevusala alanimetus]],2,FALSE)</f>
        <v>Laekvere Lasteaed</v>
      </c>
      <c r="O877" s="42"/>
      <c r="P877" s="42"/>
      <c r="Q877" s="53" t="str">
        <f>VLOOKUP(Table1[[#This Row],[Eelarvekonto]],Table5[[Konto]:[Kontode alanimetus]],5,FALSE)</f>
        <v>Majandamiskulud</v>
      </c>
      <c r="R877" s="53" t="str">
        <f>VLOOKUP(Table1[[#This Row],[Tegevusala kood]],Table4[[Tegevusala kood]:[Tegevusala alanimetus]],4,FALSE)</f>
        <v>Alusharidus</v>
      </c>
      <c r="S877" s="53"/>
      <c r="T877" s="53"/>
      <c r="U877" s="53">
        <f>Table1[[#This Row],[Summa]]+Table1[[#This Row],[I Muudatus]]+Table1[[#This Row],[II Muudatus]]</f>
        <v>100</v>
      </c>
    </row>
    <row r="878" spans="1:21" ht="14.25" hidden="1" customHeight="1" x14ac:dyDescent="0.25">
      <c r="A878" s="42" t="s">
        <v>1177</v>
      </c>
      <c r="B878" s="42">
        <v>774</v>
      </c>
      <c r="C878" s="53">
        <v>5515</v>
      </c>
      <c r="D878" s="53" t="str">
        <f>LEFT(Table1[[#This Row],[Eelarvekonto]],2)</f>
        <v>55</v>
      </c>
      <c r="E878" s="42" t="str">
        <f>VLOOKUP(Table1[[#This Row],[Eelarvekonto]],Table5[[Konto]:[Konto nimetus]],2,FALSE)</f>
        <v>Inventari majandamiskulud</v>
      </c>
      <c r="F878" s="42" t="s">
        <v>139</v>
      </c>
      <c r="G878" s="42" t="s">
        <v>24</v>
      </c>
      <c r="H878" s="42"/>
      <c r="I878" s="42"/>
      <c r="J878" s="42" t="s">
        <v>290</v>
      </c>
      <c r="K878" s="42" t="s">
        <v>288</v>
      </c>
      <c r="L878" s="81" t="s">
        <v>289</v>
      </c>
      <c r="M878" s="82" t="str">
        <f>LEFT(Table1[[#This Row],[Tegevusala kood]],2)</f>
        <v>09</v>
      </c>
      <c r="N878" s="53" t="str">
        <f>VLOOKUP(Table1[[#This Row],[Tegevusala kood]],Table4[[Tegevusala kood]:[Tegevusala alanimetus]],2,FALSE)</f>
        <v>Laekvere Lasteaed</v>
      </c>
      <c r="O878" s="42"/>
      <c r="P878" s="42"/>
      <c r="Q878" s="53" t="str">
        <f>VLOOKUP(Table1[[#This Row],[Eelarvekonto]],Table5[[Konto]:[Kontode alanimetus]],5,FALSE)</f>
        <v>Majandamiskulud</v>
      </c>
      <c r="R878" s="53" t="str">
        <f>VLOOKUP(Table1[[#This Row],[Tegevusala kood]],Table4[[Tegevusala kood]:[Tegevusala alanimetus]],4,FALSE)</f>
        <v>Alusharidus</v>
      </c>
      <c r="S878" s="53"/>
      <c r="T878" s="53"/>
      <c r="U878" s="53">
        <f>Table1[[#This Row],[Summa]]+Table1[[#This Row],[I Muudatus]]+Table1[[#This Row],[II Muudatus]]</f>
        <v>774</v>
      </c>
    </row>
    <row r="879" spans="1:21" ht="14.25" hidden="1" customHeight="1" x14ac:dyDescent="0.25">
      <c r="A879" s="42" t="s">
        <v>1178</v>
      </c>
      <c r="B879" s="42">
        <v>100</v>
      </c>
      <c r="C879" s="53">
        <v>5522</v>
      </c>
      <c r="D879" s="53" t="str">
        <f>LEFT(Table1[[#This Row],[Eelarvekonto]],2)</f>
        <v>55</v>
      </c>
      <c r="E879" s="42" t="str">
        <f>VLOOKUP(Table1[[#This Row],[Eelarvekonto]],Table5[[Konto]:[Konto nimetus]],2,FALSE)</f>
        <v>Meditsiinikulud ja hügieenikulud</v>
      </c>
      <c r="F879" s="42" t="s">
        <v>139</v>
      </c>
      <c r="G879" s="42" t="s">
        <v>24</v>
      </c>
      <c r="H879" s="42"/>
      <c r="I879" s="42"/>
      <c r="J879" s="42" t="s">
        <v>290</v>
      </c>
      <c r="K879" s="42" t="s">
        <v>288</v>
      </c>
      <c r="L879" s="81" t="s">
        <v>289</v>
      </c>
      <c r="M879" s="82" t="str">
        <f>LEFT(Table1[[#This Row],[Tegevusala kood]],2)</f>
        <v>09</v>
      </c>
      <c r="N879" s="53" t="str">
        <f>VLOOKUP(Table1[[#This Row],[Tegevusala kood]],Table4[[Tegevusala kood]:[Tegevusala alanimetus]],2,FALSE)</f>
        <v>Laekvere Lasteaed</v>
      </c>
      <c r="O879" s="42"/>
      <c r="P879" s="42"/>
      <c r="Q879" s="53" t="str">
        <f>VLOOKUP(Table1[[#This Row],[Eelarvekonto]],Table5[[Konto]:[Kontode alanimetus]],5,FALSE)</f>
        <v>Majandamiskulud</v>
      </c>
      <c r="R879" s="53" t="str">
        <f>VLOOKUP(Table1[[#This Row],[Tegevusala kood]],Table4[[Tegevusala kood]:[Tegevusala alanimetus]],4,FALSE)</f>
        <v>Alusharidus</v>
      </c>
      <c r="S879" s="53"/>
      <c r="T879" s="53"/>
      <c r="U879" s="53">
        <f>Table1[[#This Row],[Summa]]+Table1[[#This Row],[I Muudatus]]+Table1[[#This Row],[II Muudatus]]</f>
        <v>100</v>
      </c>
    </row>
    <row r="880" spans="1:21" ht="14.25" hidden="1" customHeight="1" x14ac:dyDescent="0.25">
      <c r="A880" s="42" t="s">
        <v>273</v>
      </c>
      <c r="B880" s="42">
        <v>50</v>
      </c>
      <c r="C880" s="53">
        <v>5522</v>
      </c>
      <c r="D880" s="53" t="str">
        <f>LEFT(Table1[[#This Row],[Eelarvekonto]],2)</f>
        <v>55</v>
      </c>
      <c r="E880" s="42" t="str">
        <f>VLOOKUP(Table1[[#This Row],[Eelarvekonto]],Table5[[Konto]:[Konto nimetus]],2,FALSE)</f>
        <v>Meditsiinikulud ja hügieenikulud</v>
      </c>
      <c r="F880" s="42" t="s">
        <v>139</v>
      </c>
      <c r="G880" s="42" t="s">
        <v>24</v>
      </c>
      <c r="H880" s="42"/>
      <c r="I880" s="42"/>
      <c r="J880" s="42" t="s">
        <v>290</v>
      </c>
      <c r="K880" s="42" t="s">
        <v>288</v>
      </c>
      <c r="L880" s="81" t="s">
        <v>289</v>
      </c>
      <c r="M880" s="82" t="str">
        <f>LEFT(Table1[[#This Row],[Tegevusala kood]],2)</f>
        <v>09</v>
      </c>
      <c r="N880" s="53" t="str">
        <f>VLOOKUP(Table1[[#This Row],[Tegevusala kood]],Table4[[Tegevusala kood]:[Tegevusala alanimetus]],2,FALSE)</f>
        <v>Laekvere Lasteaed</v>
      </c>
      <c r="O880" s="42"/>
      <c r="P880" s="42"/>
      <c r="Q880" s="53" t="str">
        <f>VLOOKUP(Table1[[#This Row],[Eelarvekonto]],Table5[[Konto]:[Kontode alanimetus]],5,FALSE)</f>
        <v>Majandamiskulud</v>
      </c>
      <c r="R880" s="53" t="str">
        <f>VLOOKUP(Table1[[#This Row],[Tegevusala kood]],Table4[[Tegevusala kood]:[Tegevusala alanimetus]],4,FALSE)</f>
        <v>Alusharidus</v>
      </c>
      <c r="S880" s="53"/>
      <c r="T880" s="53"/>
      <c r="U880" s="53">
        <f>Table1[[#This Row],[Summa]]+Table1[[#This Row],[I Muudatus]]+Table1[[#This Row],[II Muudatus]]</f>
        <v>50</v>
      </c>
    </row>
    <row r="881" spans="1:21" ht="14.25" hidden="1" customHeight="1" x14ac:dyDescent="0.25">
      <c r="A881" s="42" t="s">
        <v>1179</v>
      </c>
      <c r="B881" s="42">
        <v>200</v>
      </c>
      <c r="C881" s="53">
        <v>5524</v>
      </c>
      <c r="D881" s="53" t="str">
        <f>LEFT(Table1[[#This Row],[Eelarvekonto]],2)</f>
        <v>55</v>
      </c>
      <c r="E881" s="42" t="str">
        <f>VLOOKUP(Table1[[#This Row],[Eelarvekonto]],Table5[[Konto]:[Konto nimetus]],2,FALSE)</f>
        <v>Õppevahendite ja koolituse kulud</v>
      </c>
      <c r="F881" s="42" t="s">
        <v>139</v>
      </c>
      <c r="G881" s="42" t="s">
        <v>24</v>
      </c>
      <c r="H881" s="42"/>
      <c r="I881" s="42"/>
      <c r="J881" s="42" t="s">
        <v>290</v>
      </c>
      <c r="K881" s="42" t="s">
        <v>288</v>
      </c>
      <c r="L881" s="81" t="s">
        <v>289</v>
      </c>
      <c r="M881" s="82" t="str">
        <f>LEFT(Table1[[#This Row],[Tegevusala kood]],2)</f>
        <v>09</v>
      </c>
      <c r="N881" s="53" t="str">
        <f>VLOOKUP(Table1[[#This Row],[Tegevusala kood]],Table4[[Tegevusala kood]:[Tegevusala alanimetus]],2,FALSE)</f>
        <v>Laekvere Lasteaed</v>
      </c>
      <c r="O881" s="42"/>
      <c r="P881" s="42"/>
      <c r="Q881" s="53" t="str">
        <f>VLOOKUP(Table1[[#This Row],[Eelarvekonto]],Table5[[Konto]:[Kontode alanimetus]],5,FALSE)</f>
        <v>Majandamiskulud</v>
      </c>
      <c r="R881" s="53" t="str">
        <f>VLOOKUP(Table1[[#This Row],[Tegevusala kood]],Table4[[Tegevusala kood]:[Tegevusala alanimetus]],4,FALSE)</f>
        <v>Alusharidus</v>
      </c>
      <c r="S881" s="53"/>
      <c r="T881" s="53"/>
      <c r="U881" s="53">
        <f>Table1[[#This Row],[Summa]]+Table1[[#This Row],[I Muudatus]]+Table1[[#This Row],[II Muudatus]]</f>
        <v>200</v>
      </c>
    </row>
    <row r="882" spans="1:21" ht="14.25" hidden="1" customHeight="1" x14ac:dyDescent="0.25">
      <c r="A882" s="42" t="s">
        <v>1180</v>
      </c>
      <c r="B882" s="42">
        <v>100</v>
      </c>
      <c r="C882" s="53">
        <v>5524</v>
      </c>
      <c r="D882" s="53" t="str">
        <f>LEFT(Table1[[#This Row],[Eelarvekonto]],2)</f>
        <v>55</v>
      </c>
      <c r="E882" s="42" t="str">
        <f>VLOOKUP(Table1[[#This Row],[Eelarvekonto]],Table5[[Konto]:[Konto nimetus]],2,FALSE)</f>
        <v>Õppevahendite ja koolituse kulud</v>
      </c>
      <c r="F882" s="42" t="s">
        <v>139</v>
      </c>
      <c r="G882" s="42" t="s">
        <v>24</v>
      </c>
      <c r="H882" s="42"/>
      <c r="I882" s="42"/>
      <c r="J882" s="42" t="s">
        <v>290</v>
      </c>
      <c r="K882" s="42" t="s">
        <v>288</v>
      </c>
      <c r="L882" s="81" t="s">
        <v>289</v>
      </c>
      <c r="M882" s="82" t="str">
        <f>LEFT(Table1[[#This Row],[Tegevusala kood]],2)</f>
        <v>09</v>
      </c>
      <c r="N882" s="53" t="str">
        <f>VLOOKUP(Table1[[#This Row],[Tegevusala kood]],Table4[[Tegevusala kood]:[Tegevusala alanimetus]],2,FALSE)</f>
        <v>Laekvere Lasteaed</v>
      </c>
      <c r="O882" s="42"/>
      <c r="P882" s="42"/>
      <c r="Q882" s="53" t="str">
        <f>VLOOKUP(Table1[[#This Row],[Eelarvekonto]],Table5[[Konto]:[Kontode alanimetus]],5,FALSE)</f>
        <v>Majandamiskulud</v>
      </c>
      <c r="R882" s="53" t="str">
        <f>VLOOKUP(Table1[[#This Row],[Tegevusala kood]],Table4[[Tegevusala kood]:[Tegevusala alanimetus]],4,FALSE)</f>
        <v>Alusharidus</v>
      </c>
      <c r="S882" s="53"/>
      <c r="T882" s="53"/>
      <c r="U882" s="53">
        <f>Table1[[#This Row],[Summa]]+Table1[[#This Row],[I Muudatus]]+Table1[[#This Row],[II Muudatus]]</f>
        <v>100</v>
      </c>
    </row>
    <row r="883" spans="1:21" ht="14.25" hidden="1" customHeight="1" x14ac:dyDescent="0.25">
      <c r="A883" s="42" t="s">
        <v>1181</v>
      </c>
      <c r="B883" s="42">
        <v>750</v>
      </c>
      <c r="C883" s="53">
        <v>5524</v>
      </c>
      <c r="D883" s="53" t="str">
        <f>LEFT(Table1[[#This Row],[Eelarvekonto]],2)</f>
        <v>55</v>
      </c>
      <c r="E883" s="42" t="str">
        <f>VLOOKUP(Table1[[#This Row],[Eelarvekonto]],Table5[[Konto]:[Konto nimetus]],2,FALSE)</f>
        <v>Õppevahendite ja koolituse kulud</v>
      </c>
      <c r="F883" s="42" t="s">
        <v>139</v>
      </c>
      <c r="G883" s="42" t="s">
        <v>24</v>
      </c>
      <c r="H883" s="42"/>
      <c r="I883" s="42"/>
      <c r="J883" s="42" t="s">
        <v>290</v>
      </c>
      <c r="K883" s="42" t="s">
        <v>288</v>
      </c>
      <c r="L883" s="81" t="s">
        <v>289</v>
      </c>
      <c r="M883" s="82" t="str">
        <f>LEFT(Table1[[#This Row],[Tegevusala kood]],2)</f>
        <v>09</v>
      </c>
      <c r="N883" s="53" t="str">
        <f>VLOOKUP(Table1[[#This Row],[Tegevusala kood]],Table4[[Tegevusala kood]:[Tegevusala alanimetus]],2,FALSE)</f>
        <v>Laekvere Lasteaed</v>
      </c>
      <c r="O883" s="42"/>
      <c r="P883" s="42"/>
      <c r="Q883" s="53" t="str">
        <f>VLOOKUP(Table1[[#This Row],[Eelarvekonto]],Table5[[Konto]:[Kontode alanimetus]],5,FALSE)</f>
        <v>Majandamiskulud</v>
      </c>
      <c r="R883" s="53" t="str">
        <f>VLOOKUP(Table1[[#This Row],[Tegevusala kood]],Table4[[Tegevusala kood]:[Tegevusala alanimetus]],4,FALSE)</f>
        <v>Alusharidus</v>
      </c>
      <c r="S883" s="53"/>
      <c r="T883" s="53"/>
      <c r="U883" s="53">
        <f>Table1[[#This Row],[Summa]]+Table1[[#This Row],[I Muudatus]]+Table1[[#This Row],[II Muudatus]]</f>
        <v>750</v>
      </c>
    </row>
    <row r="884" spans="1:21" ht="14.25" hidden="1" customHeight="1" x14ac:dyDescent="0.25">
      <c r="A884" s="42" t="s">
        <v>1182</v>
      </c>
      <c r="B884" s="42">
        <v>750</v>
      </c>
      <c r="C884" s="53">
        <v>5524</v>
      </c>
      <c r="D884" s="53" t="str">
        <f>LEFT(Table1[[#This Row],[Eelarvekonto]],2)</f>
        <v>55</v>
      </c>
      <c r="E884" s="42" t="str">
        <f>VLOOKUP(Table1[[#This Row],[Eelarvekonto]],Table5[[Konto]:[Konto nimetus]],2,FALSE)</f>
        <v>Õppevahendite ja koolituse kulud</v>
      </c>
      <c r="F884" s="42" t="s">
        <v>139</v>
      </c>
      <c r="G884" s="42" t="s">
        <v>24</v>
      </c>
      <c r="H884" s="42"/>
      <c r="I884" s="42"/>
      <c r="J884" s="42" t="s">
        <v>290</v>
      </c>
      <c r="K884" s="42" t="s">
        <v>288</v>
      </c>
      <c r="L884" s="81" t="s">
        <v>289</v>
      </c>
      <c r="M884" s="82" t="str">
        <f>LEFT(Table1[[#This Row],[Tegevusala kood]],2)</f>
        <v>09</v>
      </c>
      <c r="N884" s="53" t="str">
        <f>VLOOKUP(Table1[[#This Row],[Tegevusala kood]],Table4[[Tegevusala kood]:[Tegevusala alanimetus]],2,FALSE)</f>
        <v>Laekvere Lasteaed</v>
      </c>
      <c r="O884" s="42"/>
      <c r="P884" s="42"/>
      <c r="Q884" s="53" t="str">
        <f>VLOOKUP(Table1[[#This Row],[Eelarvekonto]],Table5[[Konto]:[Kontode alanimetus]],5,FALSE)</f>
        <v>Majandamiskulud</v>
      </c>
      <c r="R884" s="53" t="str">
        <f>VLOOKUP(Table1[[#This Row],[Tegevusala kood]],Table4[[Tegevusala kood]:[Tegevusala alanimetus]],4,FALSE)</f>
        <v>Alusharidus</v>
      </c>
      <c r="S884" s="53"/>
      <c r="T884" s="53"/>
      <c r="U884" s="53">
        <f>Table1[[#This Row],[Summa]]+Table1[[#This Row],[I Muudatus]]+Table1[[#This Row],[II Muudatus]]</f>
        <v>750</v>
      </c>
    </row>
    <row r="885" spans="1:21" ht="14.25" hidden="1" customHeight="1" x14ac:dyDescent="0.25">
      <c r="A885" s="42" t="s">
        <v>1183</v>
      </c>
      <c r="B885" s="42">
        <v>750</v>
      </c>
      <c r="C885" s="53">
        <v>5524</v>
      </c>
      <c r="D885" s="53" t="str">
        <f>LEFT(Table1[[#This Row],[Eelarvekonto]],2)</f>
        <v>55</v>
      </c>
      <c r="E885" s="42" t="str">
        <f>VLOOKUP(Table1[[#This Row],[Eelarvekonto]],Table5[[Konto]:[Konto nimetus]],2,FALSE)</f>
        <v>Õppevahendite ja koolituse kulud</v>
      </c>
      <c r="F885" s="42" t="s">
        <v>139</v>
      </c>
      <c r="G885" s="42" t="s">
        <v>24</v>
      </c>
      <c r="H885" s="42"/>
      <c r="I885" s="42"/>
      <c r="J885" s="42" t="s">
        <v>290</v>
      </c>
      <c r="K885" s="42" t="s">
        <v>288</v>
      </c>
      <c r="L885" s="81" t="s">
        <v>289</v>
      </c>
      <c r="M885" s="82" t="str">
        <f>LEFT(Table1[[#This Row],[Tegevusala kood]],2)</f>
        <v>09</v>
      </c>
      <c r="N885" s="53" t="str">
        <f>VLOOKUP(Table1[[#This Row],[Tegevusala kood]],Table4[[Tegevusala kood]:[Tegevusala alanimetus]],2,FALSE)</f>
        <v>Laekvere Lasteaed</v>
      </c>
      <c r="O885" s="42"/>
      <c r="P885" s="42"/>
      <c r="Q885" s="53" t="str">
        <f>VLOOKUP(Table1[[#This Row],[Eelarvekonto]],Table5[[Konto]:[Kontode alanimetus]],5,FALSE)</f>
        <v>Majandamiskulud</v>
      </c>
      <c r="R885" s="53" t="str">
        <f>VLOOKUP(Table1[[#This Row],[Tegevusala kood]],Table4[[Tegevusala kood]:[Tegevusala alanimetus]],4,FALSE)</f>
        <v>Alusharidus</v>
      </c>
      <c r="S885" s="53"/>
      <c r="T885" s="53"/>
      <c r="U885" s="53">
        <f>Table1[[#This Row],[Summa]]+Table1[[#This Row],[I Muudatus]]+Table1[[#This Row],[II Muudatus]]</f>
        <v>750</v>
      </c>
    </row>
    <row r="886" spans="1:21" ht="14.25" hidden="1" customHeight="1" x14ac:dyDescent="0.25">
      <c r="A886" s="42" t="s">
        <v>1184</v>
      </c>
      <c r="B886" s="42">
        <v>100</v>
      </c>
      <c r="C886" s="53">
        <v>5525</v>
      </c>
      <c r="D886" s="53" t="str">
        <f>LEFT(Table1[[#This Row],[Eelarvekonto]],2)</f>
        <v>55</v>
      </c>
      <c r="E886" s="42" t="str">
        <f>VLOOKUP(Table1[[#This Row],[Eelarvekonto]],Table5[[Konto]:[Konto nimetus]],2,FALSE)</f>
        <v>Kommunikatsiooni-, kultuuri- ja vaba aja sisustamise kulud</v>
      </c>
      <c r="F886" s="42" t="s">
        <v>139</v>
      </c>
      <c r="G886" s="42" t="s">
        <v>24</v>
      </c>
      <c r="H886" s="42"/>
      <c r="I886" s="42"/>
      <c r="J886" s="42" t="s">
        <v>290</v>
      </c>
      <c r="K886" s="42" t="s">
        <v>288</v>
      </c>
      <c r="L886" s="81" t="s">
        <v>289</v>
      </c>
      <c r="M886" s="82" t="str">
        <f>LEFT(Table1[[#This Row],[Tegevusala kood]],2)</f>
        <v>09</v>
      </c>
      <c r="N886" s="53" t="str">
        <f>VLOOKUP(Table1[[#This Row],[Tegevusala kood]],Table4[[Tegevusala kood]:[Tegevusala alanimetus]],2,FALSE)</f>
        <v>Laekvere Lasteaed</v>
      </c>
      <c r="O886" s="42"/>
      <c r="P886" s="42"/>
      <c r="Q886" s="53" t="str">
        <f>VLOOKUP(Table1[[#This Row],[Eelarvekonto]],Table5[[Konto]:[Kontode alanimetus]],5,FALSE)</f>
        <v>Majandamiskulud</v>
      </c>
      <c r="R886" s="53" t="str">
        <f>VLOOKUP(Table1[[#This Row],[Tegevusala kood]],Table4[[Tegevusala kood]:[Tegevusala alanimetus]],4,FALSE)</f>
        <v>Alusharidus</v>
      </c>
      <c r="S886" s="53"/>
      <c r="T886" s="53"/>
      <c r="U886" s="53">
        <f>Table1[[#This Row],[Summa]]+Table1[[#This Row],[I Muudatus]]+Table1[[#This Row],[II Muudatus]]</f>
        <v>100</v>
      </c>
    </row>
    <row r="887" spans="1:21" ht="14.25" hidden="1" customHeight="1" x14ac:dyDescent="0.25">
      <c r="A887" s="42" t="s">
        <v>1185</v>
      </c>
      <c r="B887" s="42">
        <v>550</v>
      </c>
      <c r="C887" s="53">
        <v>5525</v>
      </c>
      <c r="D887" s="53" t="str">
        <f>LEFT(Table1[[#This Row],[Eelarvekonto]],2)</f>
        <v>55</v>
      </c>
      <c r="E887" s="42" t="str">
        <f>VLOOKUP(Table1[[#This Row],[Eelarvekonto]],Table5[[Konto]:[Konto nimetus]],2,FALSE)</f>
        <v>Kommunikatsiooni-, kultuuri- ja vaba aja sisustamise kulud</v>
      </c>
      <c r="F887" s="42" t="s">
        <v>139</v>
      </c>
      <c r="G887" s="42" t="s">
        <v>24</v>
      </c>
      <c r="H887" s="42"/>
      <c r="I887" s="42"/>
      <c r="J887" s="42" t="s">
        <v>290</v>
      </c>
      <c r="K887" s="42" t="s">
        <v>288</v>
      </c>
      <c r="L887" s="81" t="s">
        <v>289</v>
      </c>
      <c r="M887" s="82" t="str">
        <f>LEFT(Table1[[#This Row],[Tegevusala kood]],2)</f>
        <v>09</v>
      </c>
      <c r="N887" s="53" t="str">
        <f>VLOOKUP(Table1[[#This Row],[Tegevusala kood]],Table4[[Tegevusala kood]:[Tegevusala alanimetus]],2,FALSE)</f>
        <v>Laekvere Lasteaed</v>
      </c>
      <c r="O887" s="42"/>
      <c r="P887" s="42"/>
      <c r="Q887" s="53" t="str">
        <f>VLOOKUP(Table1[[#This Row],[Eelarvekonto]],Table5[[Konto]:[Kontode alanimetus]],5,FALSE)</f>
        <v>Majandamiskulud</v>
      </c>
      <c r="R887" s="53" t="str">
        <f>VLOOKUP(Table1[[#This Row],[Tegevusala kood]],Table4[[Tegevusala kood]:[Tegevusala alanimetus]],4,FALSE)</f>
        <v>Alusharidus</v>
      </c>
      <c r="S887" s="53"/>
      <c r="T887" s="53"/>
      <c r="U887" s="53">
        <f>Table1[[#This Row],[Summa]]+Table1[[#This Row],[I Muudatus]]+Table1[[#This Row],[II Muudatus]]</f>
        <v>550</v>
      </c>
    </row>
    <row r="888" spans="1:21" ht="14.25" hidden="1" customHeight="1" x14ac:dyDescent="0.25">
      <c r="A888" s="42" t="s">
        <v>1186</v>
      </c>
      <c r="B888" s="42">
        <v>250</v>
      </c>
      <c r="C888" s="53">
        <v>5511</v>
      </c>
      <c r="D888" s="53" t="str">
        <f>LEFT(Table1[[#This Row],[Eelarvekonto]],2)</f>
        <v>55</v>
      </c>
      <c r="E888" s="42" t="str">
        <f>VLOOKUP(Table1[[#This Row],[Eelarvekonto]],Table5[[Konto]:[Konto nimetus]],2,FALSE)</f>
        <v>Kinnistute, hoonete ja ruumide majandamiskulud</v>
      </c>
      <c r="F888" s="42" t="s">
        <v>139</v>
      </c>
      <c r="G888" s="42" t="s">
        <v>24</v>
      </c>
      <c r="H888" s="42"/>
      <c r="I888" s="42"/>
      <c r="J888" s="42" t="s">
        <v>296</v>
      </c>
      <c r="K888" s="42" t="s">
        <v>294</v>
      </c>
      <c r="L888" s="81" t="s">
        <v>295</v>
      </c>
      <c r="M888" s="82" t="str">
        <f>LEFT(Table1[[#This Row],[Tegevusala kood]],2)</f>
        <v>09</v>
      </c>
      <c r="N888" s="53" t="str">
        <f>VLOOKUP(Table1[[#This Row],[Tegevusala kood]],Table4[[Tegevusala kood]:[Tegevusala alanimetus]],2,FALSE)</f>
        <v>Kulina Lasteaed</v>
      </c>
      <c r="O888" s="42"/>
      <c r="P888" s="42"/>
      <c r="Q888" s="53" t="str">
        <f>VLOOKUP(Table1[[#This Row],[Eelarvekonto]],Table5[[Konto]:[Kontode alanimetus]],5,FALSE)</f>
        <v>Majandamiskulud</v>
      </c>
      <c r="R888" s="53" t="str">
        <f>VLOOKUP(Table1[[#This Row],[Tegevusala kood]],Table4[[Tegevusala kood]:[Tegevusala alanimetus]],4,FALSE)</f>
        <v>Alusharidus</v>
      </c>
      <c r="S888" s="53"/>
      <c r="T888" s="53"/>
      <c r="U888" s="53">
        <f>Table1[[#This Row],[Summa]]+Table1[[#This Row],[I Muudatus]]+Table1[[#This Row],[II Muudatus]]</f>
        <v>250</v>
      </c>
    </row>
    <row r="889" spans="1:21" ht="14.25" hidden="1" customHeight="1" x14ac:dyDescent="0.25">
      <c r="A889" s="42" t="s">
        <v>1187</v>
      </c>
      <c r="B889" s="42">
        <v>115</v>
      </c>
      <c r="C889" s="53">
        <v>5511</v>
      </c>
      <c r="D889" s="53" t="str">
        <f>LEFT(Table1[[#This Row],[Eelarvekonto]],2)</f>
        <v>55</v>
      </c>
      <c r="E889" s="42" t="str">
        <f>VLOOKUP(Table1[[#This Row],[Eelarvekonto]],Table5[[Konto]:[Konto nimetus]],2,FALSE)</f>
        <v>Kinnistute, hoonete ja ruumide majandamiskulud</v>
      </c>
      <c r="F889" s="42" t="s">
        <v>139</v>
      </c>
      <c r="G889" s="42" t="s">
        <v>24</v>
      </c>
      <c r="H889" s="42"/>
      <c r="I889" s="42"/>
      <c r="J889" s="42" t="s">
        <v>296</v>
      </c>
      <c r="K889" s="42" t="s">
        <v>294</v>
      </c>
      <c r="L889" s="81" t="s">
        <v>295</v>
      </c>
      <c r="M889" s="82" t="str">
        <f>LEFT(Table1[[#This Row],[Tegevusala kood]],2)</f>
        <v>09</v>
      </c>
      <c r="N889" s="53" t="str">
        <f>VLOOKUP(Table1[[#This Row],[Tegevusala kood]],Table4[[Tegevusala kood]:[Tegevusala alanimetus]],2,FALSE)</f>
        <v>Kulina Lasteaed</v>
      </c>
      <c r="O889" s="42"/>
      <c r="P889" s="42"/>
      <c r="Q889" s="53" t="str">
        <f>VLOOKUP(Table1[[#This Row],[Eelarvekonto]],Table5[[Konto]:[Kontode alanimetus]],5,FALSE)</f>
        <v>Majandamiskulud</v>
      </c>
      <c r="R889" s="53" t="str">
        <f>VLOOKUP(Table1[[#This Row],[Tegevusala kood]],Table4[[Tegevusala kood]:[Tegevusala alanimetus]],4,FALSE)</f>
        <v>Alusharidus</v>
      </c>
      <c r="S889" s="53"/>
      <c r="T889" s="53"/>
      <c r="U889" s="53">
        <f>Table1[[#This Row],[Summa]]+Table1[[#This Row],[I Muudatus]]+Table1[[#This Row],[II Muudatus]]</f>
        <v>115</v>
      </c>
    </row>
    <row r="890" spans="1:21" ht="14.25" hidden="1" customHeight="1" x14ac:dyDescent="0.25">
      <c r="A890" s="42" t="s">
        <v>300</v>
      </c>
      <c r="B890" s="42">
        <v>105</v>
      </c>
      <c r="C890" s="53">
        <v>5511</v>
      </c>
      <c r="D890" s="53" t="str">
        <f>LEFT(Table1[[#This Row],[Eelarvekonto]],2)</f>
        <v>55</v>
      </c>
      <c r="E890" s="42" t="str">
        <f>VLOOKUP(Table1[[#This Row],[Eelarvekonto]],Table5[[Konto]:[Konto nimetus]],2,FALSE)</f>
        <v>Kinnistute, hoonete ja ruumide majandamiskulud</v>
      </c>
      <c r="F890" s="42" t="s">
        <v>139</v>
      </c>
      <c r="G890" s="42" t="s">
        <v>24</v>
      </c>
      <c r="H890" s="42"/>
      <c r="I890" s="42"/>
      <c r="J890" s="42" t="s">
        <v>296</v>
      </c>
      <c r="K890" s="42" t="s">
        <v>294</v>
      </c>
      <c r="L890" s="81" t="s">
        <v>295</v>
      </c>
      <c r="M890" s="82" t="str">
        <f>LEFT(Table1[[#This Row],[Tegevusala kood]],2)</f>
        <v>09</v>
      </c>
      <c r="N890" s="53" t="str">
        <f>VLOOKUP(Table1[[#This Row],[Tegevusala kood]],Table4[[Tegevusala kood]:[Tegevusala alanimetus]],2,FALSE)</f>
        <v>Kulina Lasteaed</v>
      </c>
      <c r="O890" s="42"/>
      <c r="P890" s="42"/>
      <c r="Q890" s="53" t="str">
        <f>VLOOKUP(Table1[[#This Row],[Eelarvekonto]],Table5[[Konto]:[Kontode alanimetus]],5,FALSE)</f>
        <v>Majandamiskulud</v>
      </c>
      <c r="R890" s="53" t="str">
        <f>VLOOKUP(Table1[[#This Row],[Tegevusala kood]],Table4[[Tegevusala kood]:[Tegevusala alanimetus]],4,FALSE)</f>
        <v>Alusharidus</v>
      </c>
      <c r="S890" s="53"/>
      <c r="T890" s="53"/>
      <c r="U890" s="53">
        <f>Table1[[#This Row],[Summa]]+Table1[[#This Row],[I Muudatus]]+Table1[[#This Row],[II Muudatus]]</f>
        <v>105</v>
      </c>
    </row>
    <row r="891" spans="1:21" ht="14.25" hidden="1" customHeight="1" x14ac:dyDescent="0.25">
      <c r="A891" s="42" t="s">
        <v>1188</v>
      </c>
      <c r="B891" s="42">
        <v>170</v>
      </c>
      <c r="C891" s="53">
        <v>5511</v>
      </c>
      <c r="D891" s="53" t="str">
        <f>LEFT(Table1[[#This Row],[Eelarvekonto]],2)</f>
        <v>55</v>
      </c>
      <c r="E891" s="42" t="str">
        <f>VLOOKUP(Table1[[#This Row],[Eelarvekonto]],Table5[[Konto]:[Konto nimetus]],2,FALSE)</f>
        <v>Kinnistute, hoonete ja ruumide majandamiskulud</v>
      </c>
      <c r="F891" s="42" t="s">
        <v>139</v>
      </c>
      <c r="G891" s="42" t="s">
        <v>24</v>
      </c>
      <c r="H891" s="42"/>
      <c r="I891" s="42"/>
      <c r="J891" s="42" t="s">
        <v>296</v>
      </c>
      <c r="K891" s="42" t="s">
        <v>294</v>
      </c>
      <c r="L891" s="81" t="s">
        <v>295</v>
      </c>
      <c r="M891" s="82" t="str">
        <f>LEFT(Table1[[#This Row],[Tegevusala kood]],2)</f>
        <v>09</v>
      </c>
      <c r="N891" s="53" t="str">
        <f>VLOOKUP(Table1[[#This Row],[Tegevusala kood]],Table4[[Tegevusala kood]:[Tegevusala alanimetus]],2,FALSE)</f>
        <v>Kulina Lasteaed</v>
      </c>
      <c r="O891" s="42"/>
      <c r="P891" s="42"/>
      <c r="Q891" s="53" t="str">
        <f>VLOOKUP(Table1[[#This Row],[Eelarvekonto]],Table5[[Konto]:[Kontode alanimetus]],5,FALSE)</f>
        <v>Majandamiskulud</v>
      </c>
      <c r="R891" s="53" t="str">
        <f>VLOOKUP(Table1[[#This Row],[Tegevusala kood]],Table4[[Tegevusala kood]:[Tegevusala alanimetus]],4,FALSE)</f>
        <v>Alusharidus</v>
      </c>
      <c r="S891" s="53"/>
      <c r="T891" s="53"/>
      <c r="U891" s="53">
        <f>Table1[[#This Row],[Summa]]+Table1[[#This Row],[I Muudatus]]+Table1[[#This Row],[II Muudatus]]</f>
        <v>170</v>
      </c>
    </row>
    <row r="892" spans="1:21" ht="14.25" hidden="1" customHeight="1" x14ac:dyDescent="0.25">
      <c r="A892" s="42" t="s">
        <v>1189</v>
      </c>
      <c r="B892" s="42">
        <v>85</v>
      </c>
      <c r="C892" s="53">
        <v>5514</v>
      </c>
      <c r="D892" s="53" t="str">
        <f>LEFT(Table1[[#This Row],[Eelarvekonto]],2)</f>
        <v>55</v>
      </c>
      <c r="E892" s="42" t="str">
        <f>VLOOKUP(Table1[[#This Row],[Eelarvekonto]],Table5[[Konto]:[Konto nimetus]],2,FALSE)</f>
        <v>Info- ja kommunikatsioonitehnoloogia kulud</v>
      </c>
      <c r="F892" s="42" t="s">
        <v>139</v>
      </c>
      <c r="G892" s="42" t="s">
        <v>24</v>
      </c>
      <c r="H892" s="42"/>
      <c r="I892" s="42"/>
      <c r="J892" s="42" t="s">
        <v>296</v>
      </c>
      <c r="K892" s="42" t="s">
        <v>294</v>
      </c>
      <c r="L892" s="81" t="s">
        <v>295</v>
      </c>
      <c r="M892" s="82" t="str">
        <f>LEFT(Table1[[#This Row],[Tegevusala kood]],2)</f>
        <v>09</v>
      </c>
      <c r="N892" s="53" t="str">
        <f>VLOOKUP(Table1[[#This Row],[Tegevusala kood]],Table4[[Tegevusala kood]:[Tegevusala alanimetus]],2,FALSE)</f>
        <v>Kulina Lasteaed</v>
      </c>
      <c r="O892" s="42"/>
      <c r="P892" s="42"/>
      <c r="Q892" s="53" t="str">
        <f>VLOOKUP(Table1[[#This Row],[Eelarvekonto]],Table5[[Konto]:[Kontode alanimetus]],5,FALSE)</f>
        <v>Majandamiskulud</v>
      </c>
      <c r="R892" s="53" t="str">
        <f>VLOOKUP(Table1[[#This Row],[Tegevusala kood]],Table4[[Tegevusala kood]:[Tegevusala alanimetus]],4,FALSE)</f>
        <v>Alusharidus</v>
      </c>
      <c r="S892" s="53"/>
      <c r="T892" s="53"/>
      <c r="U892" s="53">
        <f>Table1[[#This Row],[Summa]]+Table1[[#This Row],[I Muudatus]]+Table1[[#This Row],[II Muudatus]]</f>
        <v>85</v>
      </c>
    </row>
    <row r="893" spans="1:21" ht="14.25" hidden="1" customHeight="1" x14ac:dyDescent="0.25">
      <c r="A893" s="42" t="s">
        <v>1190</v>
      </c>
      <c r="B893" s="42">
        <v>180</v>
      </c>
      <c r="C893" s="53">
        <v>5511</v>
      </c>
      <c r="D893" s="53" t="str">
        <f>LEFT(Table1[[#This Row],[Eelarvekonto]],2)</f>
        <v>55</v>
      </c>
      <c r="E893" s="42" t="str">
        <f>VLOOKUP(Table1[[#This Row],[Eelarvekonto]],Table5[[Konto]:[Konto nimetus]],2,FALSE)</f>
        <v>Kinnistute, hoonete ja ruumide majandamiskulud</v>
      </c>
      <c r="F893" s="42" t="s">
        <v>139</v>
      </c>
      <c r="G893" s="42" t="s">
        <v>24</v>
      </c>
      <c r="H893" s="42"/>
      <c r="I893" s="42"/>
      <c r="J893" s="42" t="s">
        <v>296</v>
      </c>
      <c r="K893" s="42" t="s">
        <v>294</v>
      </c>
      <c r="L893" s="81" t="s">
        <v>295</v>
      </c>
      <c r="M893" s="82" t="str">
        <f>LEFT(Table1[[#This Row],[Tegevusala kood]],2)</f>
        <v>09</v>
      </c>
      <c r="N893" s="53" t="str">
        <f>VLOOKUP(Table1[[#This Row],[Tegevusala kood]],Table4[[Tegevusala kood]:[Tegevusala alanimetus]],2,FALSE)</f>
        <v>Kulina Lasteaed</v>
      </c>
      <c r="O893" s="42"/>
      <c r="P893" s="42"/>
      <c r="Q893" s="53" t="str">
        <f>VLOOKUP(Table1[[#This Row],[Eelarvekonto]],Table5[[Konto]:[Kontode alanimetus]],5,FALSE)</f>
        <v>Majandamiskulud</v>
      </c>
      <c r="R893" s="53" t="str">
        <f>VLOOKUP(Table1[[#This Row],[Tegevusala kood]],Table4[[Tegevusala kood]:[Tegevusala alanimetus]],4,FALSE)</f>
        <v>Alusharidus</v>
      </c>
      <c r="S893" s="53"/>
      <c r="T893" s="53"/>
      <c r="U893" s="53">
        <f>Table1[[#This Row],[Summa]]+Table1[[#This Row],[I Muudatus]]+Table1[[#This Row],[II Muudatus]]</f>
        <v>180</v>
      </c>
    </row>
    <row r="894" spans="1:21" ht="14.25" hidden="1" customHeight="1" x14ac:dyDescent="0.25">
      <c r="A894" s="42" t="s">
        <v>1191</v>
      </c>
      <c r="B894" s="42">
        <v>400</v>
      </c>
      <c r="C894" s="53">
        <v>5514</v>
      </c>
      <c r="D894" s="53" t="str">
        <f>LEFT(Table1[[#This Row],[Eelarvekonto]],2)</f>
        <v>55</v>
      </c>
      <c r="E894" s="42" t="str">
        <f>VLOOKUP(Table1[[#This Row],[Eelarvekonto]],Table5[[Konto]:[Konto nimetus]],2,FALSE)</f>
        <v>Info- ja kommunikatsioonitehnoloogia kulud</v>
      </c>
      <c r="F894" s="42" t="s">
        <v>139</v>
      </c>
      <c r="G894" s="42" t="s">
        <v>24</v>
      </c>
      <c r="H894" s="42"/>
      <c r="I894" s="42"/>
      <c r="J894" s="42" t="s">
        <v>296</v>
      </c>
      <c r="K894" s="42" t="s">
        <v>294</v>
      </c>
      <c r="L894" s="81" t="s">
        <v>295</v>
      </c>
      <c r="M894" s="82" t="str">
        <f>LEFT(Table1[[#This Row],[Tegevusala kood]],2)</f>
        <v>09</v>
      </c>
      <c r="N894" s="53" t="str">
        <f>VLOOKUP(Table1[[#This Row],[Tegevusala kood]],Table4[[Tegevusala kood]:[Tegevusala alanimetus]],2,FALSE)</f>
        <v>Kulina Lasteaed</v>
      </c>
      <c r="O894" s="42"/>
      <c r="P894" s="42"/>
      <c r="Q894" s="53" t="str">
        <f>VLOOKUP(Table1[[#This Row],[Eelarvekonto]],Table5[[Konto]:[Kontode alanimetus]],5,FALSE)</f>
        <v>Majandamiskulud</v>
      </c>
      <c r="R894" s="53" t="str">
        <f>VLOOKUP(Table1[[#This Row],[Tegevusala kood]],Table4[[Tegevusala kood]:[Tegevusala alanimetus]],4,FALSE)</f>
        <v>Alusharidus</v>
      </c>
      <c r="S894" s="53"/>
      <c r="T894" s="53"/>
      <c r="U894" s="53">
        <f>Table1[[#This Row],[Summa]]+Table1[[#This Row],[I Muudatus]]+Table1[[#This Row],[II Muudatus]]</f>
        <v>400</v>
      </c>
    </row>
    <row r="895" spans="1:21" ht="14.25" hidden="1" customHeight="1" x14ac:dyDescent="0.25">
      <c r="A895" s="42" t="s">
        <v>1192</v>
      </c>
      <c r="B895" s="42">
        <v>875</v>
      </c>
      <c r="C895" s="53">
        <v>5511</v>
      </c>
      <c r="D895" s="53" t="str">
        <f>LEFT(Table1[[#This Row],[Eelarvekonto]],2)</f>
        <v>55</v>
      </c>
      <c r="E895" s="42" t="str">
        <f>VLOOKUP(Table1[[#This Row],[Eelarvekonto]],Table5[[Konto]:[Konto nimetus]],2,FALSE)</f>
        <v>Kinnistute, hoonete ja ruumide majandamiskulud</v>
      </c>
      <c r="F895" s="42" t="s">
        <v>139</v>
      </c>
      <c r="G895" s="42" t="s">
        <v>24</v>
      </c>
      <c r="H895" s="42"/>
      <c r="I895" s="42"/>
      <c r="J895" s="42" t="s">
        <v>296</v>
      </c>
      <c r="K895" s="42" t="s">
        <v>294</v>
      </c>
      <c r="L895" s="81" t="s">
        <v>295</v>
      </c>
      <c r="M895" s="82" t="str">
        <f>LEFT(Table1[[#This Row],[Tegevusala kood]],2)</f>
        <v>09</v>
      </c>
      <c r="N895" s="53" t="str">
        <f>VLOOKUP(Table1[[#This Row],[Tegevusala kood]],Table4[[Tegevusala kood]:[Tegevusala alanimetus]],2,FALSE)</f>
        <v>Kulina Lasteaed</v>
      </c>
      <c r="O895" s="42"/>
      <c r="P895" s="42"/>
      <c r="Q895" s="53" t="str">
        <f>VLOOKUP(Table1[[#This Row],[Eelarvekonto]],Table5[[Konto]:[Kontode alanimetus]],5,FALSE)</f>
        <v>Majandamiskulud</v>
      </c>
      <c r="R895" s="53" t="str">
        <f>VLOOKUP(Table1[[#This Row],[Tegevusala kood]],Table4[[Tegevusala kood]:[Tegevusala alanimetus]],4,FALSE)</f>
        <v>Alusharidus</v>
      </c>
      <c r="S895" s="53"/>
      <c r="T895" s="53"/>
      <c r="U895" s="53">
        <f>Table1[[#This Row],[Summa]]+Table1[[#This Row],[I Muudatus]]+Table1[[#This Row],[II Muudatus]]</f>
        <v>875</v>
      </c>
    </row>
    <row r="896" spans="1:21" ht="14.25" hidden="1" customHeight="1" x14ac:dyDescent="0.25">
      <c r="A896" s="42" t="s">
        <v>213</v>
      </c>
      <c r="B896" s="42">
        <v>650</v>
      </c>
      <c r="C896" s="53">
        <v>5500</v>
      </c>
      <c r="D896" s="53" t="str">
        <f>LEFT(Table1[[#This Row],[Eelarvekonto]],2)</f>
        <v>55</v>
      </c>
      <c r="E896" s="42" t="str">
        <f>VLOOKUP(Table1[[#This Row],[Eelarvekonto]],Table5[[Konto]:[Konto nimetus]],2,FALSE)</f>
        <v>Administreerimiskulud</v>
      </c>
      <c r="F896" s="42" t="s">
        <v>139</v>
      </c>
      <c r="G896" s="42" t="s">
        <v>24</v>
      </c>
      <c r="H896" s="42"/>
      <c r="I896" s="42"/>
      <c r="J896" s="42" t="s">
        <v>296</v>
      </c>
      <c r="K896" s="42" t="s">
        <v>294</v>
      </c>
      <c r="L896" s="81" t="s">
        <v>295</v>
      </c>
      <c r="M896" s="82" t="str">
        <f>LEFT(Table1[[#This Row],[Tegevusala kood]],2)</f>
        <v>09</v>
      </c>
      <c r="N896" s="53" t="str">
        <f>VLOOKUP(Table1[[#This Row],[Tegevusala kood]],Table4[[Tegevusala kood]:[Tegevusala alanimetus]],2,FALSE)</f>
        <v>Kulina Lasteaed</v>
      </c>
      <c r="O896" s="42"/>
      <c r="P896" s="42"/>
      <c r="Q896" s="53" t="str">
        <f>VLOOKUP(Table1[[#This Row],[Eelarvekonto]],Table5[[Konto]:[Kontode alanimetus]],5,FALSE)</f>
        <v>Majandamiskulud</v>
      </c>
      <c r="R896" s="53" t="str">
        <f>VLOOKUP(Table1[[#This Row],[Tegevusala kood]],Table4[[Tegevusala kood]:[Tegevusala alanimetus]],4,FALSE)</f>
        <v>Alusharidus</v>
      </c>
      <c r="S896" s="53"/>
      <c r="T896" s="53"/>
      <c r="U896" s="53">
        <f>Table1[[#This Row],[Summa]]+Table1[[#This Row],[I Muudatus]]+Table1[[#This Row],[II Muudatus]]</f>
        <v>650</v>
      </c>
    </row>
    <row r="897" spans="1:21" ht="14.25" hidden="1" customHeight="1" x14ac:dyDescent="0.25">
      <c r="A897" s="42" t="s">
        <v>239</v>
      </c>
      <c r="B897" s="42">
        <v>300</v>
      </c>
      <c r="C897" s="53">
        <v>5500</v>
      </c>
      <c r="D897" s="53" t="str">
        <f>LEFT(Table1[[#This Row],[Eelarvekonto]],2)</f>
        <v>55</v>
      </c>
      <c r="E897" s="42" t="str">
        <f>VLOOKUP(Table1[[#This Row],[Eelarvekonto]],Table5[[Konto]:[Konto nimetus]],2,FALSE)</f>
        <v>Administreerimiskulud</v>
      </c>
      <c r="F897" s="42" t="s">
        <v>139</v>
      </c>
      <c r="G897" s="42" t="s">
        <v>24</v>
      </c>
      <c r="H897" s="42"/>
      <c r="I897" s="42"/>
      <c r="J897" s="42" t="s">
        <v>296</v>
      </c>
      <c r="K897" s="42" t="s">
        <v>294</v>
      </c>
      <c r="L897" s="81" t="s">
        <v>295</v>
      </c>
      <c r="M897" s="82" t="str">
        <f>LEFT(Table1[[#This Row],[Tegevusala kood]],2)</f>
        <v>09</v>
      </c>
      <c r="N897" s="53" t="str">
        <f>VLOOKUP(Table1[[#This Row],[Tegevusala kood]],Table4[[Tegevusala kood]:[Tegevusala alanimetus]],2,FALSE)</f>
        <v>Kulina Lasteaed</v>
      </c>
      <c r="O897" s="42"/>
      <c r="P897" s="42"/>
      <c r="Q897" s="53" t="str">
        <f>VLOOKUP(Table1[[#This Row],[Eelarvekonto]],Table5[[Konto]:[Kontode alanimetus]],5,FALSE)</f>
        <v>Majandamiskulud</v>
      </c>
      <c r="R897" s="53" t="str">
        <f>VLOOKUP(Table1[[#This Row],[Tegevusala kood]],Table4[[Tegevusala kood]:[Tegevusala alanimetus]],4,FALSE)</f>
        <v>Alusharidus</v>
      </c>
      <c r="S897" s="53"/>
      <c r="T897" s="53"/>
      <c r="U897" s="53">
        <f>Table1[[#This Row],[Summa]]+Table1[[#This Row],[I Muudatus]]+Table1[[#This Row],[II Muudatus]]</f>
        <v>300</v>
      </c>
    </row>
    <row r="898" spans="1:21" ht="14.25" hidden="1" customHeight="1" x14ac:dyDescent="0.25">
      <c r="A898" s="42" t="s">
        <v>1193</v>
      </c>
      <c r="B898" s="42">
        <v>372</v>
      </c>
      <c r="C898" s="53">
        <v>5511</v>
      </c>
      <c r="D898" s="53" t="str">
        <f>LEFT(Table1[[#This Row],[Eelarvekonto]],2)</f>
        <v>55</v>
      </c>
      <c r="E898" s="42" t="str">
        <f>VLOOKUP(Table1[[#This Row],[Eelarvekonto]],Table5[[Konto]:[Konto nimetus]],2,FALSE)</f>
        <v>Kinnistute, hoonete ja ruumide majandamiskulud</v>
      </c>
      <c r="F898" s="42" t="s">
        <v>139</v>
      </c>
      <c r="G898" s="42" t="s">
        <v>24</v>
      </c>
      <c r="H898" s="42"/>
      <c r="I898" s="42"/>
      <c r="J898" s="42" t="s">
        <v>296</v>
      </c>
      <c r="K898" s="42" t="s">
        <v>294</v>
      </c>
      <c r="L898" s="81" t="s">
        <v>295</v>
      </c>
      <c r="M898" s="82" t="str">
        <f>LEFT(Table1[[#This Row],[Tegevusala kood]],2)</f>
        <v>09</v>
      </c>
      <c r="N898" s="53" t="str">
        <f>VLOOKUP(Table1[[#This Row],[Tegevusala kood]],Table4[[Tegevusala kood]:[Tegevusala alanimetus]],2,FALSE)</f>
        <v>Kulina Lasteaed</v>
      </c>
      <c r="O898" s="42"/>
      <c r="P898" s="42"/>
      <c r="Q898" s="53" t="str">
        <f>VLOOKUP(Table1[[#This Row],[Eelarvekonto]],Table5[[Konto]:[Kontode alanimetus]],5,FALSE)</f>
        <v>Majandamiskulud</v>
      </c>
      <c r="R898" s="53" t="str">
        <f>VLOOKUP(Table1[[#This Row],[Tegevusala kood]],Table4[[Tegevusala kood]:[Tegevusala alanimetus]],4,FALSE)</f>
        <v>Alusharidus</v>
      </c>
      <c r="S898" s="53"/>
      <c r="T898" s="53"/>
      <c r="U898" s="53">
        <f>Table1[[#This Row],[Summa]]+Table1[[#This Row],[I Muudatus]]+Table1[[#This Row],[II Muudatus]]</f>
        <v>372</v>
      </c>
    </row>
    <row r="899" spans="1:21" ht="14.25" hidden="1" customHeight="1" x14ac:dyDescent="0.25">
      <c r="A899" s="42" t="s">
        <v>303</v>
      </c>
      <c r="B899" s="42">
        <v>375</v>
      </c>
      <c r="C899" s="53">
        <v>5005</v>
      </c>
      <c r="D899" s="53" t="str">
        <f>LEFT(Table1[[#This Row],[Eelarvekonto]],2)</f>
        <v>50</v>
      </c>
      <c r="E899" s="42" t="str">
        <f>VLOOKUP(Table1[[#This Row],[Eelarvekonto]],Table5[[Konto]:[Konto nimetus]],2,FALSE)</f>
        <v>Töötasud võlaõiguslike lepingute alusel</v>
      </c>
      <c r="F899" s="42" t="s">
        <v>139</v>
      </c>
      <c r="G899" s="42" t="s">
        <v>24</v>
      </c>
      <c r="H899" s="42"/>
      <c r="I899" s="42"/>
      <c r="J899" s="42" t="s">
        <v>296</v>
      </c>
      <c r="K899" s="42" t="s">
        <v>294</v>
      </c>
      <c r="L899" s="81" t="s">
        <v>295</v>
      </c>
      <c r="M899" s="82" t="str">
        <f>LEFT(Table1[[#This Row],[Tegevusala kood]],2)</f>
        <v>09</v>
      </c>
      <c r="N899" s="53" t="str">
        <f>VLOOKUP(Table1[[#This Row],[Tegevusala kood]],Table4[[Tegevusala kood]:[Tegevusala alanimetus]],2,FALSE)</f>
        <v>Kulina Lasteaed</v>
      </c>
      <c r="O899" s="42"/>
      <c r="P899" s="42"/>
      <c r="Q899" s="53" t="str">
        <f>VLOOKUP(Table1[[#This Row],[Eelarvekonto]],Table5[[Konto]:[Kontode alanimetus]],5,FALSE)</f>
        <v>Tööjõukulud</v>
      </c>
      <c r="R899" s="53" t="str">
        <f>VLOOKUP(Table1[[#This Row],[Tegevusala kood]],Table4[[Tegevusala kood]:[Tegevusala alanimetus]],4,FALSE)</f>
        <v>Alusharidus</v>
      </c>
      <c r="S899" s="53"/>
      <c r="T899" s="53"/>
      <c r="U899" s="53">
        <f>Table1[[#This Row],[Summa]]+Table1[[#This Row],[I Muudatus]]+Table1[[#This Row],[II Muudatus]]</f>
        <v>375</v>
      </c>
    </row>
    <row r="900" spans="1:21" ht="14.25" hidden="1" customHeight="1" x14ac:dyDescent="0.25">
      <c r="A900" s="42" t="s">
        <v>1194</v>
      </c>
      <c r="B900" s="42">
        <v>119</v>
      </c>
      <c r="C900" s="53">
        <v>5515</v>
      </c>
      <c r="D900" s="53" t="str">
        <f>LEFT(Table1[[#This Row],[Eelarvekonto]],2)</f>
        <v>55</v>
      </c>
      <c r="E900" s="42" t="str">
        <f>VLOOKUP(Table1[[#This Row],[Eelarvekonto]],Table5[[Konto]:[Konto nimetus]],2,FALSE)</f>
        <v>Inventari majandamiskulud</v>
      </c>
      <c r="F900" s="42" t="s">
        <v>139</v>
      </c>
      <c r="G900" s="42" t="s">
        <v>24</v>
      </c>
      <c r="H900" s="42"/>
      <c r="I900" s="42"/>
      <c r="J900" s="42" t="s">
        <v>296</v>
      </c>
      <c r="K900" s="42" t="s">
        <v>294</v>
      </c>
      <c r="L900" s="81" t="s">
        <v>295</v>
      </c>
      <c r="M900" s="82" t="str">
        <f>LEFT(Table1[[#This Row],[Tegevusala kood]],2)</f>
        <v>09</v>
      </c>
      <c r="N900" s="53" t="str">
        <f>VLOOKUP(Table1[[#This Row],[Tegevusala kood]],Table4[[Tegevusala kood]:[Tegevusala alanimetus]],2,FALSE)</f>
        <v>Kulina Lasteaed</v>
      </c>
      <c r="O900" s="42"/>
      <c r="P900" s="42"/>
      <c r="Q900" s="53" t="str">
        <f>VLOOKUP(Table1[[#This Row],[Eelarvekonto]],Table5[[Konto]:[Kontode alanimetus]],5,FALSE)</f>
        <v>Majandamiskulud</v>
      </c>
      <c r="R900" s="53" t="str">
        <f>VLOOKUP(Table1[[#This Row],[Tegevusala kood]],Table4[[Tegevusala kood]:[Tegevusala alanimetus]],4,FALSE)</f>
        <v>Alusharidus</v>
      </c>
      <c r="S900" s="53"/>
      <c r="T900" s="53"/>
      <c r="U900" s="53">
        <f>Table1[[#This Row],[Summa]]+Table1[[#This Row],[I Muudatus]]+Table1[[#This Row],[II Muudatus]]</f>
        <v>119</v>
      </c>
    </row>
    <row r="901" spans="1:21" ht="14.25" hidden="1" customHeight="1" x14ac:dyDescent="0.25">
      <c r="A901" s="42" t="s">
        <v>1195</v>
      </c>
      <c r="B901" s="42">
        <v>182</v>
      </c>
      <c r="C901" s="53">
        <v>5515</v>
      </c>
      <c r="D901" s="53" t="str">
        <f>LEFT(Table1[[#This Row],[Eelarvekonto]],2)</f>
        <v>55</v>
      </c>
      <c r="E901" s="42" t="str">
        <f>VLOOKUP(Table1[[#This Row],[Eelarvekonto]],Table5[[Konto]:[Konto nimetus]],2,FALSE)</f>
        <v>Inventari majandamiskulud</v>
      </c>
      <c r="F901" s="42" t="s">
        <v>139</v>
      </c>
      <c r="G901" s="42" t="s">
        <v>24</v>
      </c>
      <c r="H901" s="42"/>
      <c r="I901" s="42"/>
      <c r="J901" s="42" t="s">
        <v>296</v>
      </c>
      <c r="K901" s="42" t="s">
        <v>294</v>
      </c>
      <c r="L901" s="81" t="s">
        <v>295</v>
      </c>
      <c r="M901" s="82" t="str">
        <f>LEFT(Table1[[#This Row],[Tegevusala kood]],2)</f>
        <v>09</v>
      </c>
      <c r="N901" s="53" t="str">
        <f>VLOOKUP(Table1[[#This Row],[Tegevusala kood]],Table4[[Tegevusala kood]:[Tegevusala alanimetus]],2,FALSE)</f>
        <v>Kulina Lasteaed</v>
      </c>
      <c r="O901" s="42"/>
      <c r="P901" s="42"/>
      <c r="Q901" s="53" t="str">
        <f>VLOOKUP(Table1[[#This Row],[Eelarvekonto]],Table5[[Konto]:[Kontode alanimetus]],5,FALSE)</f>
        <v>Majandamiskulud</v>
      </c>
      <c r="R901" s="53" t="str">
        <f>VLOOKUP(Table1[[#This Row],[Tegevusala kood]],Table4[[Tegevusala kood]:[Tegevusala alanimetus]],4,FALSE)</f>
        <v>Alusharidus</v>
      </c>
      <c r="S901" s="53"/>
      <c r="T901" s="53"/>
      <c r="U901" s="53">
        <f>Table1[[#This Row],[Summa]]+Table1[[#This Row],[I Muudatus]]+Table1[[#This Row],[II Muudatus]]</f>
        <v>182</v>
      </c>
    </row>
    <row r="902" spans="1:21" ht="14.25" hidden="1" customHeight="1" x14ac:dyDescent="0.25">
      <c r="A902" s="42" t="s">
        <v>1196</v>
      </c>
      <c r="B902" s="42">
        <v>180</v>
      </c>
      <c r="C902" s="53">
        <v>5511</v>
      </c>
      <c r="D902" s="53" t="str">
        <f>LEFT(Table1[[#This Row],[Eelarvekonto]],2)</f>
        <v>55</v>
      </c>
      <c r="E902" s="42" t="str">
        <f>VLOOKUP(Table1[[#This Row],[Eelarvekonto]],Table5[[Konto]:[Konto nimetus]],2,FALSE)</f>
        <v>Kinnistute, hoonete ja ruumide majandamiskulud</v>
      </c>
      <c r="F902" s="42" t="s">
        <v>139</v>
      </c>
      <c r="G902" s="42" t="s">
        <v>24</v>
      </c>
      <c r="H902" s="42"/>
      <c r="I902" s="42"/>
      <c r="J902" s="42" t="s">
        <v>296</v>
      </c>
      <c r="K902" s="42" t="s">
        <v>294</v>
      </c>
      <c r="L902" s="81" t="s">
        <v>295</v>
      </c>
      <c r="M902" s="82" t="str">
        <f>LEFT(Table1[[#This Row],[Tegevusala kood]],2)</f>
        <v>09</v>
      </c>
      <c r="N902" s="53" t="str">
        <f>VLOOKUP(Table1[[#This Row],[Tegevusala kood]],Table4[[Tegevusala kood]:[Tegevusala alanimetus]],2,FALSE)</f>
        <v>Kulina Lasteaed</v>
      </c>
      <c r="O902" s="42"/>
      <c r="P902" s="42"/>
      <c r="Q902" s="53" t="str">
        <f>VLOOKUP(Table1[[#This Row],[Eelarvekonto]],Table5[[Konto]:[Kontode alanimetus]],5,FALSE)</f>
        <v>Majandamiskulud</v>
      </c>
      <c r="R902" s="53" t="str">
        <f>VLOOKUP(Table1[[#This Row],[Tegevusala kood]],Table4[[Tegevusala kood]:[Tegevusala alanimetus]],4,FALSE)</f>
        <v>Alusharidus</v>
      </c>
      <c r="S902" s="53"/>
      <c r="T902" s="53"/>
      <c r="U902" s="53">
        <f>Table1[[#This Row],[Summa]]+Table1[[#This Row],[I Muudatus]]+Table1[[#This Row],[II Muudatus]]</f>
        <v>180</v>
      </c>
    </row>
    <row r="903" spans="1:21" ht="14.25" hidden="1" customHeight="1" x14ac:dyDescent="0.25">
      <c r="A903" s="42" t="s">
        <v>299</v>
      </c>
      <c r="B903" s="42">
        <v>120</v>
      </c>
      <c r="C903" s="53">
        <v>5511</v>
      </c>
      <c r="D903" s="53" t="str">
        <f>LEFT(Table1[[#This Row],[Eelarvekonto]],2)</f>
        <v>55</v>
      </c>
      <c r="E903" s="42" t="str">
        <f>VLOOKUP(Table1[[#This Row],[Eelarvekonto]],Table5[[Konto]:[Konto nimetus]],2,FALSE)</f>
        <v>Kinnistute, hoonete ja ruumide majandamiskulud</v>
      </c>
      <c r="F903" s="42" t="s">
        <v>139</v>
      </c>
      <c r="G903" s="42" t="s">
        <v>24</v>
      </c>
      <c r="H903" s="42"/>
      <c r="I903" s="42"/>
      <c r="J903" s="42" t="s">
        <v>296</v>
      </c>
      <c r="K903" s="42" t="s">
        <v>294</v>
      </c>
      <c r="L903" s="81" t="s">
        <v>295</v>
      </c>
      <c r="M903" s="82" t="str">
        <f>LEFT(Table1[[#This Row],[Tegevusala kood]],2)</f>
        <v>09</v>
      </c>
      <c r="N903" s="53" t="str">
        <f>VLOOKUP(Table1[[#This Row],[Tegevusala kood]],Table4[[Tegevusala kood]:[Tegevusala alanimetus]],2,FALSE)</f>
        <v>Kulina Lasteaed</v>
      </c>
      <c r="O903" s="42"/>
      <c r="P903" s="42"/>
      <c r="Q903" s="53" t="str">
        <f>VLOOKUP(Table1[[#This Row],[Eelarvekonto]],Table5[[Konto]:[Kontode alanimetus]],5,FALSE)</f>
        <v>Majandamiskulud</v>
      </c>
      <c r="R903" s="53" t="str">
        <f>VLOOKUP(Table1[[#This Row],[Tegevusala kood]],Table4[[Tegevusala kood]:[Tegevusala alanimetus]],4,FALSE)</f>
        <v>Alusharidus</v>
      </c>
      <c r="S903" s="53"/>
      <c r="T903" s="53"/>
      <c r="U903" s="53">
        <f>Table1[[#This Row],[Summa]]+Table1[[#This Row],[I Muudatus]]+Table1[[#This Row],[II Muudatus]]</f>
        <v>120</v>
      </c>
    </row>
    <row r="904" spans="1:21" ht="14.25" hidden="1" customHeight="1" x14ac:dyDescent="0.25">
      <c r="A904" s="42" t="s">
        <v>1015</v>
      </c>
      <c r="B904" s="42">
        <v>1000</v>
      </c>
      <c r="C904" s="53">
        <v>5521</v>
      </c>
      <c r="D904" s="53" t="str">
        <f>LEFT(Table1[[#This Row],[Eelarvekonto]],2)</f>
        <v>55</v>
      </c>
      <c r="E904" s="42" t="str">
        <f>VLOOKUP(Table1[[#This Row],[Eelarvekonto]],Table5[[Konto]:[Konto nimetus]],2,FALSE)</f>
        <v>Toiduained ja toitlustusteenused</v>
      </c>
      <c r="F904" s="42" t="s">
        <v>139</v>
      </c>
      <c r="G904" s="42" t="s">
        <v>24</v>
      </c>
      <c r="H904" s="42"/>
      <c r="I904" s="42"/>
      <c r="J904" s="42" t="s">
        <v>296</v>
      </c>
      <c r="K904" s="42" t="s">
        <v>294</v>
      </c>
      <c r="L904" s="81" t="s">
        <v>295</v>
      </c>
      <c r="M904" s="82" t="str">
        <f>LEFT(Table1[[#This Row],[Tegevusala kood]],2)</f>
        <v>09</v>
      </c>
      <c r="N904" s="53" t="str">
        <f>VLOOKUP(Table1[[#This Row],[Tegevusala kood]],Table4[[Tegevusala kood]:[Tegevusala alanimetus]],2,FALSE)</f>
        <v>Kulina Lasteaed</v>
      </c>
      <c r="O904" s="42"/>
      <c r="P904" s="42"/>
      <c r="Q904" s="53" t="str">
        <f>VLOOKUP(Table1[[#This Row],[Eelarvekonto]],Table5[[Konto]:[Kontode alanimetus]],5,FALSE)</f>
        <v>Majandamiskulud</v>
      </c>
      <c r="R904" s="53" t="str">
        <f>VLOOKUP(Table1[[#This Row],[Tegevusala kood]],Table4[[Tegevusala kood]:[Tegevusala alanimetus]],4,FALSE)</f>
        <v>Alusharidus</v>
      </c>
      <c r="S904" s="53"/>
      <c r="T904" s="53"/>
      <c r="U904" s="53">
        <f>Table1[[#This Row],[Summa]]+Table1[[#This Row],[I Muudatus]]+Table1[[#This Row],[II Muudatus]]</f>
        <v>1000</v>
      </c>
    </row>
    <row r="905" spans="1:21" ht="14.25" hidden="1" customHeight="1" x14ac:dyDescent="0.25">
      <c r="A905" s="42" t="s">
        <v>1197</v>
      </c>
      <c r="B905" s="42">
        <v>16</v>
      </c>
      <c r="C905" s="53">
        <v>5500</v>
      </c>
      <c r="D905" s="53" t="str">
        <f>LEFT(Table1[[#This Row],[Eelarvekonto]],2)</f>
        <v>55</v>
      </c>
      <c r="E905" s="42" t="str">
        <f>VLOOKUP(Table1[[#This Row],[Eelarvekonto]],Table5[[Konto]:[Konto nimetus]],2,FALSE)</f>
        <v>Administreerimiskulud</v>
      </c>
      <c r="F905" s="42" t="s">
        <v>139</v>
      </c>
      <c r="G905" s="42" t="s">
        <v>24</v>
      </c>
      <c r="H905" s="42"/>
      <c r="I905" s="42"/>
      <c r="J905" s="42" t="s">
        <v>296</v>
      </c>
      <c r="K905" s="42" t="s">
        <v>294</v>
      </c>
      <c r="L905" s="81" t="s">
        <v>295</v>
      </c>
      <c r="M905" s="82" t="str">
        <f>LEFT(Table1[[#This Row],[Tegevusala kood]],2)</f>
        <v>09</v>
      </c>
      <c r="N905" s="53" t="str">
        <f>VLOOKUP(Table1[[#This Row],[Tegevusala kood]],Table4[[Tegevusala kood]:[Tegevusala alanimetus]],2,FALSE)</f>
        <v>Kulina Lasteaed</v>
      </c>
      <c r="O905" s="42"/>
      <c r="P905" s="42"/>
      <c r="Q905" s="53" t="str">
        <f>VLOOKUP(Table1[[#This Row],[Eelarvekonto]],Table5[[Konto]:[Kontode alanimetus]],5,FALSE)</f>
        <v>Majandamiskulud</v>
      </c>
      <c r="R905" s="53" t="str">
        <f>VLOOKUP(Table1[[#This Row],[Tegevusala kood]],Table4[[Tegevusala kood]:[Tegevusala alanimetus]],4,FALSE)</f>
        <v>Alusharidus</v>
      </c>
      <c r="S905" s="53"/>
      <c r="T905" s="53"/>
      <c r="U905" s="53">
        <f>Table1[[#This Row],[Summa]]+Table1[[#This Row],[I Muudatus]]+Table1[[#This Row],[II Muudatus]]</f>
        <v>16</v>
      </c>
    </row>
    <row r="906" spans="1:21" ht="14.25" hidden="1" customHeight="1" x14ac:dyDescent="0.25">
      <c r="A906" s="42" t="s">
        <v>255</v>
      </c>
      <c r="B906" s="42">
        <v>2700</v>
      </c>
      <c r="C906" s="53">
        <v>5524</v>
      </c>
      <c r="D906" s="53" t="str">
        <f>LEFT(Table1[[#This Row],[Eelarvekonto]],2)</f>
        <v>55</v>
      </c>
      <c r="E906" s="42" t="str">
        <f>VLOOKUP(Table1[[#This Row],[Eelarvekonto]],Table5[[Konto]:[Konto nimetus]],2,FALSE)</f>
        <v>Õppevahendite ja koolituse kulud</v>
      </c>
      <c r="F906" s="42" t="s">
        <v>139</v>
      </c>
      <c r="G906" s="42" t="s">
        <v>24</v>
      </c>
      <c r="H906" s="42"/>
      <c r="I906" s="42"/>
      <c r="J906" s="42" t="s">
        <v>296</v>
      </c>
      <c r="K906" s="42" t="s">
        <v>294</v>
      </c>
      <c r="L906" s="81" t="s">
        <v>295</v>
      </c>
      <c r="M906" s="82" t="str">
        <f>LEFT(Table1[[#This Row],[Tegevusala kood]],2)</f>
        <v>09</v>
      </c>
      <c r="N906" s="53" t="str">
        <f>VLOOKUP(Table1[[#This Row],[Tegevusala kood]],Table4[[Tegevusala kood]:[Tegevusala alanimetus]],2,FALSE)</f>
        <v>Kulina Lasteaed</v>
      </c>
      <c r="O906" s="42"/>
      <c r="P906" s="42"/>
      <c r="Q906" s="53" t="str">
        <f>VLOOKUP(Table1[[#This Row],[Eelarvekonto]],Table5[[Konto]:[Kontode alanimetus]],5,FALSE)</f>
        <v>Majandamiskulud</v>
      </c>
      <c r="R906" s="53" t="str">
        <f>VLOOKUP(Table1[[#This Row],[Tegevusala kood]],Table4[[Tegevusala kood]:[Tegevusala alanimetus]],4,FALSE)</f>
        <v>Alusharidus</v>
      </c>
      <c r="S906" s="53"/>
      <c r="T906" s="53"/>
      <c r="U906" s="53">
        <f>Table1[[#This Row],[Summa]]+Table1[[#This Row],[I Muudatus]]+Table1[[#This Row],[II Muudatus]]</f>
        <v>2700</v>
      </c>
    </row>
    <row r="907" spans="1:21" ht="14.25" hidden="1" customHeight="1" x14ac:dyDescent="0.25">
      <c r="A907" s="42" t="s">
        <v>151</v>
      </c>
      <c r="B907" s="42">
        <v>250</v>
      </c>
      <c r="C907" s="53">
        <v>5522</v>
      </c>
      <c r="D907" s="53" t="str">
        <f>LEFT(Table1[[#This Row],[Eelarvekonto]],2)</f>
        <v>55</v>
      </c>
      <c r="E907" s="42" t="str">
        <f>VLOOKUP(Table1[[#This Row],[Eelarvekonto]],Table5[[Konto]:[Konto nimetus]],2,FALSE)</f>
        <v>Meditsiinikulud ja hügieenikulud</v>
      </c>
      <c r="F907" s="42" t="s">
        <v>139</v>
      </c>
      <c r="G907" s="42" t="s">
        <v>24</v>
      </c>
      <c r="H907" s="42"/>
      <c r="I907" s="42"/>
      <c r="J907" s="42" t="s">
        <v>296</v>
      </c>
      <c r="K907" s="42" t="s">
        <v>294</v>
      </c>
      <c r="L907" s="81" t="s">
        <v>295</v>
      </c>
      <c r="M907" s="82" t="str">
        <f>LEFT(Table1[[#This Row],[Tegevusala kood]],2)</f>
        <v>09</v>
      </c>
      <c r="N907" s="53" t="str">
        <f>VLOOKUP(Table1[[#This Row],[Tegevusala kood]],Table4[[Tegevusala kood]:[Tegevusala alanimetus]],2,FALSE)</f>
        <v>Kulina Lasteaed</v>
      </c>
      <c r="O907" s="42"/>
      <c r="P907" s="42"/>
      <c r="Q907" s="53" t="str">
        <f>VLOOKUP(Table1[[#This Row],[Eelarvekonto]],Table5[[Konto]:[Kontode alanimetus]],5,FALSE)</f>
        <v>Majandamiskulud</v>
      </c>
      <c r="R907" s="53" t="str">
        <f>VLOOKUP(Table1[[#This Row],[Tegevusala kood]],Table4[[Tegevusala kood]:[Tegevusala alanimetus]],4,FALSE)</f>
        <v>Alusharidus</v>
      </c>
      <c r="S907" s="53"/>
      <c r="T907" s="53"/>
      <c r="U907" s="53">
        <f>Table1[[#This Row],[Summa]]+Table1[[#This Row],[I Muudatus]]+Table1[[#This Row],[II Muudatus]]</f>
        <v>250</v>
      </c>
    </row>
    <row r="908" spans="1:21" ht="14.25" hidden="1" customHeight="1" x14ac:dyDescent="0.25">
      <c r="A908" s="42" t="s">
        <v>143</v>
      </c>
      <c r="B908" s="42">
        <v>1100</v>
      </c>
      <c r="C908" s="53">
        <v>5511</v>
      </c>
      <c r="D908" s="53" t="str">
        <f>LEFT(Table1[[#This Row],[Eelarvekonto]],2)</f>
        <v>55</v>
      </c>
      <c r="E908" s="42" t="str">
        <f>VLOOKUP(Table1[[#This Row],[Eelarvekonto]],Table5[[Konto]:[Konto nimetus]],2,FALSE)</f>
        <v>Kinnistute, hoonete ja ruumide majandamiskulud</v>
      </c>
      <c r="F908" s="42" t="s">
        <v>139</v>
      </c>
      <c r="G908" s="42" t="s">
        <v>24</v>
      </c>
      <c r="H908" s="42"/>
      <c r="I908" s="42"/>
      <c r="J908" s="42" t="s">
        <v>296</v>
      </c>
      <c r="K908" s="42" t="s">
        <v>294</v>
      </c>
      <c r="L908" s="81" t="s">
        <v>295</v>
      </c>
      <c r="M908" s="82" t="str">
        <f>LEFT(Table1[[#This Row],[Tegevusala kood]],2)</f>
        <v>09</v>
      </c>
      <c r="N908" s="53" t="str">
        <f>VLOOKUP(Table1[[#This Row],[Tegevusala kood]],Table4[[Tegevusala kood]:[Tegevusala alanimetus]],2,FALSE)</f>
        <v>Kulina Lasteaed</v>
      </c>
      <c r="O908" s="42"/>
      <c r="P908" s="42"/>
      <c r="Q908" s="53" t="str">
        <f>VLOOKUP(Table1[[#This Row],[Eelarvekonto]],Table5[[Konto]:[Kontode alanimetus]],5,FALSE)</f>
        <v>Majandamiskulud</v>
      </c>
      <c r="R908" s="53" t="str">
        <f>VLOOKUP(Table1[[#This Row],[Tegevusala kood]],Table4[[Tegevusala kood]:[Tegevusala alanimetus]],4,FALSE)</f>
        <v>Alusharidus</v>
      </c>
      <c r="S908" s="53"/>
      <c r="T908" s="53"/>
      <c r="U908" s="53">
        <f>Table1[[#This Row],[Summa]]+Table1[[#This Row],[I Muudatus]]+Table1[[#This Row],[II Muudatus]]</f>
        <v>1100</v>
      </c>
    </row>
    <row r="909" spans="1:21" ht="14.25" hidden="1" customHeight="1" x14ac:dyDescent="0.25">
      <c r="A909" s="42" t="s">
        <v>1198</v>
      </c>
      <c r="B909" s="42">
        <v>510</v>
      </c>
      <c r="C909" s="53">
        <v>5005</v>
      </c>
      <c r="D909" s="53" t="str">
        <f>LEFT(Table1[[#This Row],[Eelarvekonto]],2)</f>
        <v>50</v>
      </c>
      <c r="E909" s="42" t="str">
        <f>VLOOKUP(Table1[[#This Row],[Eelarvekonto]],Table5[[Konto]:[Konto nimetus]],2,FALSE)</f>
        <v>Töötasud võlaõiguslike lepingute alusel</v>
      </c>
      <c r="F909" s="42" t="s">
        <v>139</v>
      </c>
      <c r="G909" s="42" t="s">
        <v>24</v>
      </c>
      <c r="H909" s="42"/>
      <c r="I909" s="42"/>
      <c r="J909" s="42" t="s">
        <v>296</v>
      </c>
      <c r="K909" s="42" t="s">
        <v>294</v>
      </c>
      <c r="L909" s="81" t="s">
        <v>295</v>
      </c>
      <c r="M909" s="82" t="str">
        <f>LEFT(Table1[[#This Row],[Tegevusala kood]],2)</f>
        <v>09</v>
      </c>
      <c r="N909" s="53" t="str">
        <f>VLOOKUP(Table1[[#This Row],[Tegevusala kood]],Table4[[Tegevusala kood]:[Tegevusala alanimetus]],2,FALSE)</f>
        <v>Kulina Lasteaed</v>
      </c>
      <c r="O909" s="42"/>
      <c r="P909" s="42"/>
      <c r="Q909" s="53" t="str">
        <f>VLOOKUP(Table1[[#This Row],[Eelarvekonto]],Table5[[Konto]:[Kontode alanimetus]],5,FALSE)</f>
        <v>Tööjõukulud</v>
      </c>
      <c r="R909" s="53" t="str">
        <f>VLOOKUP(Table1[[#This Row],[Tegevusala kood]],Table4[[Tegevusala kood]:[Tegevusala alanimetus]],4,FALSE)</f>
        <v>Alusharidus</v>
      </c>
      <c r="S909" s="53"/>
      <c r="T909" s="53"/>
      <c r="U909" s="53">
        <f>Table1[[#This Row],[Summa]]+Table1[[#This Row],[I Muudatus]]+Table1[[#This Row],[II Muudatus]]</f>
        <v>510</v>
      </c>
    </row>
    <row r="910" spans="1:21" ht="14.25" hidden="1" customHeight="1" x14ac:dyDescent="0.25">
      <c r="A910" s="42" t="s">
        <v>302</v>
      </c>
      <c r="B910" s="42">
        <v>650</v>
      </c>
      <c r="C910" s="53">
        <v>5525</v>
      </c>
      <c r="D910" s="53" t="str">
        <f>LEFT(Table1[[#This Row],[Eelarvekonto]],2)</f>
        <v>55</v>
      </c>
      <c r="E910" s="42" t="str">
        <f>VLOOKUP(Table1[[#This Row],[Eelarvekonto]],Table5[[Konto]:[Konto nimetus]],2,FALSE)</f>
        <v>Kommunikatsiooni-, kultuuri- ja vaba aja sisustamise kulud</v>
      </c>
      <c r="F910" s="42" t="s">
        <v>139</v>
      </c>
      <c r="G910" s="42" t="s">
        <v>24</v>
      </c>
      <c r="H910" s="42"/>
      <c r="I910" s="42"/>
      <c r="J910" s="42" t="s">
        <v>296</v>
      </c>
      <c r="K910" s="42" t="s">
        <v>294</v>
      </c>
      <c r="L910" s="81" t="s">
        <v>295</v>
      </c>
      <c r="M910" s="82" t="str">
        <f>LEFT(Table1[[#This Row],[Tegevusala kood]],2)</f>
        <v>09</v>
      </c>
      <c r="N910" s="53" t="str">
        <f>VLOOKUP(Table1[[#This Row],[Tegevusala kood]],Table4[[Tegevusala kood]:[Tegevusala alanimetus]],2,FALSE)</f>
        <v>Kulina Lasteaed</v>
      </c>
      <c r="O910" s="42"/>
      <c r="P910" s="42"/>
      <c r="Q910" s="53" t="str">
        <f>VLOOKUP(Table1[[#This Row],[Eelarvekonto]],Table5[[Konto]:[Kontode alanimetus]],5,FALSE)</f>
        <v>Majandamiskulud</v>
      </c>
      <c r="R910" s="53" t="str">
        <f>VLOOKUP(Table1[[#This Row],[Tegevusala kood]],Table4[[Tegevusala kood]:[Tegevusala alanimetus]],4,FALSE)</f>
        <v>Alusharidus</v>
      </c>
      <c r="S910" s="53"/>
      <c r="T910" s="53"/>
      <c r="U910" s="53">
        <f>Table1[[#This Row],[Summa]]+Table1[[#This Row],[I Muudatus]]+Table1[[#This Row],[II Muudatus]]</f>
        <v>650</v>
      </c>
    </row>
    <row r="911" spans="1:21" ht="14.25" hidden="1" customHeight="1" x14ac:dyDescent="0.25">
      <c r="A911" s="42" t="s">
        <v>1199</v>
      </c>
      <c r="B911" s="42">
        <v>110</v>
      </c>
      <c r="C911" s="53">
        <v>5511</v>
      </c>
      <c r="D911" s="53" t="str">
        <f>LEFT(Table1[[#This Row],[Eelarvekonto]],2)</f>
        <v>55</v>
      </c>
      <c r="E911" s="42" t="str">
        <f>VLOOKUP(Table1[[#This Row],[Eelarvekonto]],Table5[[Konto]:[Konto nimetus]],2,FALSE)</f>
        <v>Kinnistute, hoonete ja ruumide majandamiskulud</v>
      </c>
      <c r="F911" s="42" t="s">
        <v>139</v>
      </c>
      <c r="G911" s="42" t="s">
        <v>24</v>
      </c>
      <c r="H911" s="42"/>
      <c r="I911" s="42"/>
      <c r="J911" s="42" t="s">
        <v>296</v>
      </c>
      <c r="K911" s="42" t="s">
        <v>294</v>
      </c>
      <c r="L911" s="81" t="s">
        <v>295</v>
      </c>
      <c r="M911" s="82" t="str">
        <f>LEFT(Table1[[#This Row],[Tegevusala kood]],2)</f>
        <v>09</v>
      </c>
      <c r="N911" s="53" t="str">
        <f>VLOOKUP(Table1[[#This Row],[Tegevusala kood]],Table4[[Tegevusala kood]:[Tegevusala alanimetus]],2,FALSE)</f>
        <v>Kulina Lasteaed</v>
      </c>
      <c r="O911" s="42"/>
      <c r="P911" s="42"/>
      <c r="Q911" s="53" t="str">
        <f>VLOOKUP(Table1[[#This Row],[Eelarvekonto]],Table5[[Konto]:[Kontode alanimetus]],5,FALSE)</f>
        <v>Majandamiskulud</v>
      </c>
      <c r="R911" s="53" t="str">
        <f>VLOOKUP(Table1[[#This Row],[Tegevusala kood]],Table4[[Tegevusala kood]:[Tegevusala alanimetus]],4,FALSE)</f>
        <v>Alusharidus</v>
      </c>
      <c r="S911" s="53"/>
      <c r="T911" s="53"/>
      <c r="U911" s="53">
        <f>Table1[[#This Row],[Summa]]+Table1[[#This Row],[I Muudatus]]+Table1[[#This Row],[II Muudatus]]</f>
        <v>110</v>
      </c>
    </row>
    <row r="912" spans="1:21" ht="14.25" hidden="1" customHeight="1" x14ac:dyDescent="0.25">
      <c r="A912" s="42" t="s">
        <v>140</v>
      </c>
      <c r="B912" s="42">
        <v>504</v>
      </c>
      <c r="C912" s="53">
        <v>5504</v>
      </c>
      <c r="D912" s="53" t="str">
        <f>LEFT(Table1[[#This Row],[Eelarvekonto]],2)</f>
        <v>55</v>
      </c>
      <c r="E912" s="42" t="str">
        <f>VLOOKUP(Table1[[#This Row],[Eelarvekonto]],Table5[[Konto]:[Konto nimetus]],2,FALSE)</f>
        <v>Koolituskulud (sh koolituslähetus)</v>
      </c>
      <c r="F912" s="42" t="s">
        <v>139</v>
      </c>
      <c r="G912" s="42" t="s">
        <v>24</v>
      </c>
      <c r="H912" s="42"/>
      <c r="I912" s="42"/>
      <c r="J912" s="42" t="s">
        <v>296</v>
      </c>
      <c r="K912" s="42" t="s">
        <v>294</v>
      </c>
      <c r="L912" s="81" t="s">
        <v>295</v>
      </c>
      <c r="M912" s="82" t="str">
        <f>LEFT(Table1[[#This Row],[Tegevusala kood]],2)</f>
        <v>09</v>
      </c>
      <c r="N912" s="53" t="str">
        <f>VLOOKUP(Table1[[#This Row],[Tegevusala kood]],Table4[[Tegevusala kood]:[Tegevusala alanimetus]],2,FALSE)</f>
        <v>Kulina Lasteaed</v>
      </c>
      <c r="O912" s="42"/>
      <c r="P912" s="42"/>
      <c r="Q912" s="53" t="str">
        <f>VLOOKUP(Table1[[#This Row],[Eelarvekonto]],Table5[[Konto]:[Kontode alanimetus]],5,FALSE)</f>
        <v>Majandamiskulud</v>
      </c>
      <c r="R912" s="53" t="str">
        <f>VLOOKUP(Table1[[#This Row],[Tegevusala kood]],Table4[[Tegevusala kood]:[Tegevusala alanimetus]],4,FALSE)</f>
        <v>Alusharidus</v>
      </c>
      <c r="S912" s="53"/>
      <c r="T912" s="53"/>
      <c r="U912" s="53">
        <f>Table1[[#This Row],[Summa]]+Table1[[#This Row],[I Muudatus]]+Table1[[#This Row],[II Muudatus]]</f>
        <v>504</v>
      </c>
    </row>
    <row r="913" spans="1:21" ht="14.25" hidden="1" customHeight="1" x14ac:dyDescent="0.25">
      <c r="A913" s="42" t="s">
        <v>298</v>
      </c>
      <c r="B913" s="42">
        <v>28</v>
      </c>
      <c r="C913" s="53">
        <v>5500</v>
      </c>
      <c r="D913" s="53" t="str">
        <f>LEFT(Table1[[#This Row],[Eelarvekonto]],2)</f>
        <v>55</v>
      </c>
      <c r="E913" s="42" t="str">
        <f>VLOOKUP(Table1[[#This Row],[Eelarvekonto]],Table5[[Konto]:[Konto nimetus]],2,FALSE)</f>
        <v>Administreerimiskulud</v>
      </c>
      <c r="F913" s="42" t="s">
        <v>139</v>
      </c>
      <c r="G913" s="42" t="s">
        <v>24</v>
      </c>
      <c r="H913" s="42"/>
      <c r="I913" s="42"/>
      <c r="J913" s="42" t="s">
        <v>296</v>
      </c>
      <c r="K913" s="42" t="s">
        <v>294</v>
      </c>
      <c r="L913" s="81" t="s">
        <v>295</v>
      </c>
      <c r="M913" s="82" t="str">
        <f>LEFT(Table1[[#This Row],[Tegevusala kood]],2)</f>
        <v>09</v>
      </c>
      <c r="N913" s="53" t="str">
        <f>VLOOKUP(Table1[[#This Row],[Tegevusala kood]],Table4[[Tegevusala kood]:[Tegevusala alanimetus]],2,FALSE)</f>
        <v>Kulina Lasteaed</v>
      </c>
      <c r="O913" s="42"/>
      <c r="P913" s="42"/>
      <c r="Q913" s="53" t="str">
        <f>VLOOKUP(Table1[[#This Row],[Eelarvekonto]],Table5[[Konto]:[Kontode alanimetus]],5,FALSE)</f>
        <v>Majandamiskulud</v>
      </c>
      <c r="R913" s="53" t="str">
        <f>VLOOKUP(Table1[[#This Row],[Tegevusala kood]],Table4[[Tegevusala kood]:[Tegevusala alanimetus]],4,FALSE)</f>
        <v>Alusharidus</v>
      </c>
      <c r="S913" s="53"/>
      <c r="T913" s="53"/>
      <c r="U913" s="53">
        <f>Table1[[#This Row],[Summa]]+Table1[[#This Row],[I Muudatus]]+Table1[[#This Row],[II Muudatus]]</f>
        <v>28</v>
      </c>
    </row>
    <row r="914" spans="1:21" ht="14.25" hidden="1" customHeight="1" x14ac:dyDescent="0.25">
      <c r="A914" s="42" t="s">
        <v>1200</v>
      </c>
      <c r="B914" s="42">
        <v>27</v>
      </c>
      <c r="C914" s="53">
        <v>5500</v>
      </c>
      <c r="D914" s="53" t="str">
        <f>LEFT(Table1[[#This Row],[Eelarvekonto]],2)</f>
        <v>55</v>
      </c>
      <c r="E914" s="42" t="str">
        <f>VLOOKUP(Table1[[#This Row],[Eelarvekonto]],Table5[[Konto]:[Konto nimetus]],2,FALSE)</f>
        <v>Administreerimiskulud</v>
      </c>
      <c r="F914" s="42" t="s">
        <v>139</v>
      </c>
      <c r="G914" s="42" t="s">
        <v>24</v>
      </c>
      <c r="H914" s="42"/>
      <c r="I914" s="42"/>
      <c r="J914" s="42" t="s">
        <v>296</v>
      </c>
      <c r="K914" s="42" t="s">
        <v>294</v>
      </c>
      <c r="L914" s="81" t="s">
        <v>295</v>
      </c>
      <c r="M914" s="82" t="str">
        <f>LEFT(Table1[[#This Row],[Tegevusala kood]],2)</f>
        <v>09</v>
      </c>
      <c r="N914" s="53" t="str">
        <f>VLOOKUP(Table1[[#This Row],[Tegevusala kood]],Table4[[Tegevusala kood]:[Tegevusala alanimetus]],2,FALSE)</f>
        <v>Kulina Lasteaed</v>
      </c>
      <c r="O914" s="42"/>
      <c r="P914" s="42"/>
      <c r="Q914" s="53" t="str">
        <f>VLOOKUP(Table1[[#This Row],[Eelarvekonto]],Table5[[Konto]:[Kontode alanimetus]],5,FALSE)</f>
        <v>Majandamiskulud</v>
      </c>
      <c r="R914" s="53" t="str">
        <f>VLOOKUP(Table1[[#This Row],[Tegevusala kood]],Table4[[Tegevusala kood]:[Tegevusala alanimetus]],4,FALSE)</f>
        <v>Alusharidus</v>
      </c>
      <c r="S914" s="53"/>
      <c r="T914" s="53"/>
      <c r="U914" s="53">
        <f>Table1[[#This Row],[Summa]]+Table1[[#This Row],[I Muudatus]]+Table1[[#This Row],[II Muudatus]]</f>
        <v>27</v>
      </c>
    </row>
    <row r="915" spans="1:21" ht="14.25" hidden="1" customHeight="1" x14ac:dyDescent="0.25">
      <c r="A915" s="42" t="s">
        <v>297</v>
      </c>
      <c r="B915" s="42">
        <v>18</v>
      </c>
      <c r="C915" s="53">
        <v>5500</v>
      </c>
      <c r="D915" s="53" t="str">
        <f>LEFT(Table1[[#This Row],[Eelarvekonto]],2)</f>
        <v>55</v>
      </c>
      <c r="E915" s="42" t="str">
        <f>VLOOKUP(Table1[[#This Row],[Eelarvekonto]],Table5[[Konto]:[Konto nimetus]],2,FALSE)</f>
        <v>Administreerimiskulud</v>
      </c>
      <c r="F915" s="42" t="s">
        <v>139</v>
      </c>
      <c r="G915" s="42" t="s">
        <v>24</v>
      </c>
      <c r="H915" s="42"/>
      <c r="I915" s="42"/>
      <c r="J915" s="42" t="s">
        <v>296</v>
      </c>
      <c r="K915" s="42" t="s">
        <v>294</v>
      </c>
      <c r="L915" s="81" t="s">
        <v>295</v>
      </c>
      <c r="M915" s="82" t="str">
        <f>LEFT(Table1[[#This Row],[Tegevusala kood]],2)</f>
        <v>09</v>
      </c>
      <c r="N915" s="53" t="str">
        <f>VLOOKUP(Table1[[#This Row],[Tegevusala kood]],Table4[[Tegevusala kood]:[Tegevusala alanimetus]],2,FALSE)</f>
        <v>Kulina Lasteaed</v>
      </c>
      <c r="O915" s="42"/>
      <c r="P915" s="42"/>
      <c r="Q915" s="53" t="str">
        <f>VLOOKUP(Table1[[#This Row],[Eelarvekonto]],Table5[[Konto]:[Kontode alanimetus]],5,FALSE)</f>
        <v>Majandamiskulud</v>
      </c>
      <c r="R915" s="53" t="str">
        <f>VLOOKUP(Table1[[#This Row],[Tegevusala kood]],Table4[[Tegevusala kood]:[Tegevusala alanimetus]],4,FALSE)</f>
        <v>Alusharidus</v>
      </c>
      <c r="S915" s="53"/>
      <c r="T915" s="53"/>
      <c r="U915" s="53">
        <f>Table1[[#This Row],[Summa]]+Table1[[#This Row],[I Muudatus]]+Table1[[#This Row],[II Muudatus]]</f>
        <v>18</v>
      </c>
    </row>
    <row r="916" spans="1:21" ht="14.25" hidden="1" customHeight="1" x14ac:dyDescent="0.25">
      <c r="A916" s="42" t="s">
        <v>345</v>
      </c>
      <c r="B916" s="42">
        <v>1000</v>
      </c>
      <c r="C916" s="53">
        <v>5524</v>
      </c>
      <c r="D916" s="53" t="str">
        <f>LEFT(Table1[[#This Row],[Eelarvekonto]],2)</f>
        <v>55</v>
      </c>
      <c r="E916" s="42" t="str">
        <f>VLOOKUP(Table1[[#This Row],[Eelarvekonto]],Table5[[Konto]:[Konto nimetus]],2,FALSE)</f>
        <v>Õppevahendite ja koolituse kulud</v>
      </c>
      <c r="F916" s="42" t="s">
        <v>139</v>
      </c>
      <c r="G916" s="42" t="s">
        <v>24</v>
      </c>
      <c r="H916" s="42"/>
      <c r="I916" s="42"/>
      <c r="J916" s="42" t="s">
        <v>342</v>
      </c>
      <c r="K916" s="42" t="s">
        <v>341</v>
      </c>
      <c r="L916" s="81" t="s">
        <v>344</v>
      </c>
      <c r="M916" s="82" t="str">
        <f>LEFT(Table1[[#This Row],[Tegevusala kood]],2)</f>
        <v>09</v>
      </c>
      <c r="N916" s="53" t="str">
        <f>VLOOKUP(Table1[[#This Row],[Tegevusala kood]],Table4[[Tegevusala kood]:[Tegevusala alanimetus]],2,FALSE)</f>
        <v>Haldus</v>
      </c>
      <c r="O916" s="42"/>
      <c r="P916" s="42"/>
      <c r="Q916" s="53" t="str">
        <f>VLOOKUP(Table1[[#This Row],[Eelarvekonto]],Table5[[Konto]:[Kontode alanimetus]],5,FALSE)</f>
        <v>Majandamiskulud</v>
      </c>
      <c r="R916" s="53" t="str">
        <f>VLOOKUP(Table1[[#This Row],[Tegevusala kood]],Table4[[Tegevusala kood]:[Tegevusala alanimetus]],4,FALSE)</f>
        <v>Muu haridus, sh hariduse haldus</v>
      </c>
      <c r="S916" s="53"/>
      <c r="T916" s="53"/>
      <c r="U916" s="53">
        <f>Table1[[#This Row],[Summa]]+Table1[[#This Row],[I Muudatus]]+Table1[[#This Row],[II Muudatus]]</f>
        <v>1000</v>
      </c>
    </row>
    <row r="917" spans="1:21" ht="14.25" hidden="1" customHeight="1" x14ac:dyDescent="0.25">
      <c r="A917" s="42" t="s">
        <v>140</v>
      </c>
      <c r="B917" s="42">
        <v>1700</v>
      </c>
      <c r="C917" s="53">
        <v>5504</v>
      </c>
      <c r="D917" s="53" t="str">
        <f>LEFT(Table1[[#This Row],[Eelarvekonto]],2)</f>
        <v>55</v>
      </c>
      <c r="E917" s="42" t="str">
        <f>VLOOKUP(Table1[[#This Row],[Eelarvekonto]],Table5[[Konto]:[Konto nimetus]],2,FALSE)</f>
        <v>Koolituskulud (sh koolituslähetus)</v>
      </c>
      <c r="F917" s="42" t="s">
        <v>139</v>
      </c>
      <c r="G917" s="42" t="s">
        <v>24</v>
      </c>
      <c r="H917" s="42"/>
      <c r="I917" s="42"/>
      <c r="J917" s="42" t="s">
        <v>342</v>
      </c>
      <c r="K917" s="42" t="s">
        <v>341</v>
      </c>
      <c r="L917" s="81" t="s">
        <v>344</v>
      </c>
      <c r="M917" s="82" t="str">
        <f>LEFT(Table1[[#This Row],[Tegevusala kood]],2)</f>
        <v>09</v>
      </c>
      <c r="N917" s="53" t="str">
        <f>VLOOKUP(Table1[[#This Row],[Tegevusala kood]],Table4[[Tegevusala kood]:[Tegevusala alanimetus]],2,FALSE)</f>
        <v>Haldus</v>
      </c>
      <c r="O917" s="42"/>
      <c r="P917" s="42"/>
      <c r="Q917" s="53" t="str">
        <f>VLOOKUP(Table1[[#This Row],[Eelarvekonto]],Table5[[Konto]:[Kontode alanimetus]],5,FALSE)</f>
        <v>Majandamiskulud</v>
      </c>
      <c r="R917" s="53" t="str">
        <f>VLOOKUP(Table1[[#This Row],[Tegevusala kood]],Table4[[Tegevusala kood]:[Tegevusala alanimetus]],4,FALSE)</f>
        <v>Muu haridus, sh hariduse haldus</v>
      </c>
      <c r="S917" s="53"/>
      <c r="T917" s="53"/>
      <c r="U917" s="53">
        <f>Table1[[#This Row],[Summa]]+Table1[[#This Row],[I Muudatus]]+Table1[[#This Row],[II Muudatus]]</f>
        <v>1700</v>
      </c>
    </row>
    <row r="918" spans="1:21" ht="14.25" hidden="1" customHeight="1" x14ac:dyDescent="0.25">
      <c r="A918" s="42" t="s">
        <v>346</v>
      </c>
      <c r="B918" s="42">
        <v>1300</v>
      </c>
      <c r="C918" s="53">
        <v>5504</v>
      </c>
      <c r="D918" s="53" t="str">
        <f>LEFT(Table1[[#This Row],[Eelarvekonto]],2)</f>
        <v>55</v>
      </c>
      <c r="E918" s="42" t="str">
        <f>VLOOKUP(Table1[[#This Row],[Eelarvekonto]],Table5[[Konto]:[Konto nimetus]],2,FALSE)</f>
        <v>Koolituskulud (sh koolituslähetus)</v>
      </c>
      <c r="F918" s="42" t="s">
        <v>139</v>
      </c>
      <c r="G918" s="42" t="s">
        <v>24</v>
      </c>
      <c r="H918" s="42"/>
      <c r="I918" s="42"/>
      <c r="J918" s="42" t="s">
        <v>342</v>
      </c>
      <c r="K918" s="42" t="s">
        <v>341</v>
      </c>
      <c r="L918" s="81" t="s">
        <v>344</v>
      </c>
      <c r="M918" s="82" t="str">
        <f>LEFT(Table1[[#This Row],[Tegevusala kood]],2)</f>
        <v>09</v>
      </c>
      <c r="N918" s="53" t="str">
        <f>VLOOKUP(Table1[[#This Row],[Tegevusala kood]],Table4[[Tegevusala kood]:[Tegevusala alanimetus]],2,FALSE)</f>
        <v>Haldus</v>
      </c>
      <c r="O918" s="42"/>
      <c r="P918" s="42"/>
      <c r="Q918" s="53" t="str">
        <f>VLOOKUP(Table1[[#This Row],[Eelarvekonto]],Table5[[Konto]:[Kontode alanimetus]],5,FALSE)</f>
        <v>Majandamiskulud</v>
      </c>
      <c r="R918" s="53" t="str">
        <f>VLOOKUP(Table1[[#This Row],[Tegevusala kood]],Table4[[Tegevusala kood]:[Tegevusala alanimetus]],4,FALSE)</f>
        <v>Muu haridus, sh hariduse haldus</v>
      </c>
      <c r="S918" s="53"/>
      <c r="T918" s="53"/>
      <c r="U918" s="53">
        <f>Table1[[#This Row],[Summa]]+Table1[[#This Row],[I Muudatus]]+Table1[[#This Row],[II Muudatus]]</f>
        <v>1300</v>
      </c>
    </row>
    <row r="919" spans="1:21" ht="14.25" hidden="1" customHeight="1" x14ac:dyDescent="0.25">
      <c r="A919" s="42" t="s">
        <v>1020</v>
      </c>
      <c r="B919" s="42">
        <v>25488</v>
      </c>
      <c r="C919" s="53">
        <v>5524</v>
      </c>
      <c r="D919" s="53" t="str">
        <f>LEFT(Table1[[#This Row],[Eelarvekonto]],2)</f>
        <v>55</v>
      </c>
      <c r="E919" s="42" t="str">
        <f>VLOOKUP(Table1[[#This Row],[Eelarvekonto]],Table5[[Konto]:[Konto nimetus]],2,FALSE)</f>
        <v>Õppevahendite ja koolituse kulud</v>
      </c>
      <c r="F919" s="42" t="s">
        <v>139</v>
      </c>
      <c r="G919" s="42" t="s">
        <v>24</v>
      </c>
      <c r="H919" s="42"/>
      <c r="I919" s="42"/>
      <c r="J919" s="42" t="s">
        <v>342</v>
      </c>
      <c r="K919" s="42" t="s">
        <v>341</v>
      </c>
      <c r="L919" s="81" t="s">
        <v>358</v>
      </c>
      <c r="M919" s="82" t="str">
        <f>LEFT(Table1[[#This Row],[Tegevusala kood]],2)</f>
        <v>09</v>
      </c>
      <c r="N919" s="53" t="str">
        <f>VLOOKUP(Table1[[#This Row],[Tegevusala kood]],Table4[[Tegevusala kood]:[Tegevusala alanimetus]],2,FALSE)</f>
        <v>HEV kohatasud/õpilaskodu</v>
      </c>
      <c r="O919" s="42"/>
      <c r="P919" s="42"/>
      <c r="Q919" s="53" t="str">
        <f>VLOOKUP(Table1[[#This Row],[Eelarvekonto]],Table5[[Konto]:[Kontode alanimetus]],5,FALSE)</f>
        <v>Majandamiskulud</v>
      </c>
      <c r="R919" s="53" t="str">
        <f>VLOOKUP(Table1[[#This Row],[Tegevusala kood]],Table4[[Tegevusala kood]:[Tegevusala alanimetus]],4,FALSE)</f>
        <v>Põhihariduse otsekulud</v>
      </c>
      <c r="S919" s="53"/>
      <c r="T919" s="53"/>
      <c r="U919" s="53">
        <f>Table1[[#This Row],[Summa]]+Table1[[#This Row],[I Muudatus]]+Table1[[#This Row],[II Muudatus]]</f>
        <v>25488</v>
      </c>
    </row>
    <row r="920" spans="1:21" ht="14.25" hidden="1" customHeight="1" x14ac:dyDescent="0.25">
      <c r="A920" s="42" t="s">
        <v>1201</v>
      </c>
      <c r="B920" s="42">
        <v>3000</v>
      </c>
      <c r="C920" s="53">
        <v>5522</v>
      </c>
      <c r="D920" s="53" t="str">
        <f>LEFT(Table1[[#This Row],[Eelarvekonto]],2)</f>
        <v>55</v>
      </c>
      <c r="E920" s="42" t="str">
        <f>VLOOKUP(Table1[[#This Row],[Eelarvekonto]],Table5[[Konto]:[Konto nimetus]],2,FALSE)</f>
        <v>Meditsiinikulud ja hügieenikulud</v>
      </c>
      <c r="F920" s="42" t="s">
        <v>139</v>
      </c>
      <c r="G920" s="42" t="s">
        <v>24</v>
      </c>
      <c r="H920" s="42"/>
      <c r="I920" s="42"/>
      <c r="J920" s="42" t="s">
        <v>252</v>
      </c>
      <c r="K920" s="42" t="s">
        <v>251</v>
      </c>
      <c r="L920" s="81" t="s">
        <v>250</v>
      </c>
      <c r="M920" s="82" t="str">
        <f>LEFT(Table1[[#This Row],[Tegevusala kood]],2)</f>
        <v>09</v>
      </c>
      <c r="N920" s="53" t="str">
        <f>VLOOKUP(Table1[[#This Row],[Tegevusala kood]],Table4[[Tegevusala kood]:[Tegevusala alanimetus]],2,FALSE)</f>
        <v>Vinni-Pajusti Gümnaasium</v>
      </c>
      <c r="O920" s="42"/>
      <c r="P920" s="42"/>
      <c r="Q920" s="53" t="str">
        <f>VLOOKUP(Table1[[#This Row],[Eelarvekonto]],Table5[[Konto]:[Kontode alanimetus]],5,FALSE)</f>
        <v>Majandamiskulud</v>
      </c>
      <c r="R920" s="53" t="str">
        <f>VLOOKUP(Table1[[#This Row],[Tegevusala kood]],Table4[[Tegevusala kood]:[Tegevusala alanimetus]],4,FALSE)</f>
        <v>Põhihariduse otsekulud</v>
      </c>
      <c r="S920" s="53"/>
      <c r="T920" s="53"/>
      <c r="U920" s="53">
        <f>Table1[[#This Row],[Summa]]+Table1[[#This Row],[I Muudatus]]+Table1[[#This Row],[II Muudatus]]</f>
        <v>3000</v>
      </c>
    </row>
    <row r="921" spans="1:21" ht="14.25" hidden="1" customHeight="1" x14ac:dyDescent="0.25">
      <c r="A921" s="42" t="s">
        <v>1202</v>
      </c>
      <c r="B921" s="42">
        <v>1000</v>
      </c>
      <c r="C921" s="53">
        <v>5532</v>
      </c>
      <c r="D921" s="53" t="str">
        <f>LEFT(Table1[[#This Row],[Eelarvekonto]],2)</f>
        <v>55</v>
      </c>
      <c r="E921" s="42" t="str">
        <f>VLOOKUP(Table1[[#This Row],[Eelarvekonto]],Table5[[Konto]:[Konto nimetus]],2,FALSE)</f>
        <v>Eri- ja vormiriietus (va kaitseotstarbelised kulud)</v>
      </c>
      <c r="F921" s="42" t="s">
        <v>139</v>
      </c>
      <c r="G921" s="42" t="s">
        <v>24</v>
      </c>
      <c r="H921" s="42"/>
      <c r="I921" s="42"/>
      <c r="J921" s="42" t="s">
        <v>252</v>
      </c>
      <c r="K921" s="42" t="s">
        <v>251</v>
      </c>
      <c r="L921" s="81" t="s">
        <v>250</v>
      </c>
      <c r="M921" s="82" t="str">
        <f>LEFT(Table1[[#This Row],[Tegevusala kood]],2)</f>
        <v>09</v>
      </c>
      <c r="N921" s="53" t="str">
        <f>VLOOKUP(Table1[[#This Row],[Tegevusala kood]],Table4[[Tegevusala kood]:[Tegevusala alanimetus]],2,FALSE)</f>
        <v>Vinni-Pajusti Gümnaasium</v>
      </c>
      <c r="O921" s="42"/>
      <c r="P921" s="42"/>
      <c r="Q921" s="53" t="str">
        <f>VLOOKUP(Table1[[#This Row],[Eelarvekonto]],Table5[[Konto]:[Kontode alanimetus]],5,FALSE)</f>
        <v>Majandamiskulud</v>
      </c>
      <c r="R921" s="53" t="str">
        <f>VLOOKUP(Table1[[#This Row],[Tegevusala kood]],Table4[[Tegevusala kood]:[Tegevusala alanimetus]],4,FALSE)</f>
        <v>Põhihariduse otsekulud</v>
      </c>
      <c r="S921" s="53"/>
      <c r="T921" s="53"/>
      <c r="U921" s="53">
        <f>Table1[[#This Row],[Summa]]+Table1[[#This Row],[I Muudatus]]+Table1[[#This Row],[II Muudatus]]</f>
        <v>1000</v>
      </c>
    </row>
    <row r="922" spans="1:21" ht="14.25" hidden="1" customHeight="1" x14ac:dyDescent="0.25">
      <c r="A922" s="42" t="s">
        <v>1203</v>
      </c>
      <c r="B922" s="42">
        <v>11140</v>
      </c>
      <c r="C922" s="53">
        <v>5514</v>
      </c>
      <c r="D922" s="53" t="str">
        <f>LEFT(Table1[[#This Row],[Eelarvekonto]],2)</f>
        <v>55</v>
      </c>
      <c r="E922" s="42" t="str">
        <f>VLOOKUP(Table1[[#This Row],[Eelarvekonto]],Table5[[Konto]:[Konto nimetus]],2,FALSE)</f>
        <v>Info- ja kommunikatsioonitehnoloogia kulud</v>
      </c>
      <c r="F922" s="42" t="s">
        <v>139</v>
      </c>
      <c r="G922" s="42" t="s">
        <v>24</v>
      </c>
      <c r="H922" s="42"/>
      <c r="I922" s="42"/>
      <c r="J922" s="42" t="s">
        <v>252</v>
      </c>
      <c r="K922" s="42" t="s">
        <v>251</v>
      </c>
      <c r="L922" s="81" t="s">
        <v>250</v>
      </c>
      <c r="M922" s="82" t="str">
        <f>LEFT(Table1[[#This Row],[Tegevusala kood]],2)</f>
        <v>09</v>
      </c>
      <c r="N922" s="53" t="str">
        <f>VLOOKUP(Table1[[#This Row],[Tegevusala kood]],Table4[[Tegevusala kood]:[Tegevusala alanimetus]],2,FALSE)</f>
        <v>Vinni-Pajusti Gümnaasium</v>
      </c>
      <c r="O922" s="42"/>
      <c r="P922" s="42"/>
      <c r="Q922" s="53" t="str">
        <f>VLOOKUP(Table1[[#This Row],[Eelarvekonto]],Table5[[Konto]:[Kontode alanimetus]],5,FALSE)</f>
        <v>Majandamiskulud</v>
      </c>
      <c r="R922" s="53" t="str">
        <f>VLOOKUP(Table1[[#This Row],[Tegevusala kood]],Table4[[Tegevusala kood]:[Tegevusala alanimetus]],4,FALSE)</f>
        <v>Põhihariduse otsekulud</v>
      </c>
      <c r="S922" s="53"/>
      <c r="T922" s="53"/>
      <c r="U922" s="53">
        <f>Table1[[#This Row],[Summa]]+Table1[[#This Row],[I Muudatus]]+Table1[[#This Row],[II Muudatus]]</f>
        <v>11140</v>
      </c>
    </row>
    <row r="923" spans="1:21" ht="14.25" hidden="1" customHeight="1" x14ac:dyDescent="0.25">
      <c r="A923" s="42" t="s">
        <v>1204</v>
      </c>
      <c r="B923" s="42">
        <v>550</v>
      </c>
      <c r="C923" s="53">
        <v>5504</v>
      </c>
      <c r="D923" s="53" t="str">
        <f>LEFT(Table1[[#This Row],[Eelarvekonto]],2)</f>
        <v>55</v>
      </c>
      <c r="E923" s="42" t="str">
        <f>VLOOKUP(Table1[[#This Row],[Eelarvekonto]],Table5[[Konto]:[Konto nimetus]],2,FALSE)</f>
        <v>Koolituskulud (sh koolituslähetus)</v>
      </c>
      <c r="F923" s="42" t="s">
        <v>139</v>
      </c>
      <c r="G923" s="42" t="s">
        <v>24</v>
      </c>
      <c r="H923" s="42"/>
      <c r="I923" s="42"/>
      <c r="J923" s="42" t="s">
        <v>252</v>
      </c>
      <c r="K923" s="42" t="s">
        <v>251</v>
      </c>
      <c r="L923" s="81" t="s">
        <v>250</v>
      </c>
      <c r="M923" s="82" t="str">
        <f>LEFT(Table1[[#This Row],[Tegevusala kood]],2)</f>
        <v>09</v>
      </c>
      <c r="N923" s="53" t="str">
        <f>VLOOKUP(Table1[[#This Row],[Tegevusala kood]],Table4[[Tegevusala kood]:[Tegevusala alanimetus]],2,FALSE)</f>
        <v>Vinni-Pajusti Gümnaasium</v>
      </c>
      <c r="O923" s="42"/>
      <c r="P923" s="42"/>
      <c r="Q923" s="53" t="str">
        <f>VLOOKUP(Table1[[#This Row],[Eelarvekonto]],Table5[[Konto]:[Kontode alanimetus]],5,FALSE)</f>
        <v>Majandamiskulud</v>
      </c>
      <c r="R923" s="53" t="str">
        <f>VLOOKUP(Table1[[#This Row],[Tegevusala kood]],Table4[[Tegevusala kood]:[Tegevusala alanimetus]],4,FALSE)</f>
        <v>Põhihariduse otsekulud</v>
      </c>
      <c r="S923" s="53"/>
      <c r="T923" s="53"/>
      <c r="U923" s="53">
        <f>Table1[[#This Row],[Summa]]+Table1[[#This Row],[I Muudatus]]+Table1[[#This Row],[II Muudatus]]</f>
        <v>550</v>
      </c>
    </row>
    <row r="924" spans="1:21" ht="14.25" hidden="1" customHeight="1" x14ac:dyDescent="0.25">
      <c r="A924" s="42" t="s">
        <v>1205</v>
      </c>
      <c r="B924" s="42">
        <v>11000</v>
      </c>
      <c r="C924" s="53">
        <v>5525</v>
      </c>
      <c r="D924" s="53" t="str">
        <f>LEFT(Table1[[#This Row],[Eelarvekonto]],2)</f>
        <v>55</v>
      </c>
      <c r="E924" s="42" t="str">
        <f>VLOOKUP(Table1[[#This Row],[Eelarvekonto]],Table5[[Konto]:[Konto nimetus]],2,FALSE)</f>
        <v>Kommunikatsiooni-, kultuuri- ja vaba aja sisustamise kulud</v>
      </c>
      <c r="F924" s="42" t="s">
        <v>139</v>
      </c>
      <c r="G924" s="42" t="s">
        <v>24</v>
      </c>
      <c r="H924" s="42"/>
      <c r="I924" s="42"/>
      <c r="J924" s="42" t="s">
        <v>252</v>
      </c>
      <c r="K924" s="42" t="s">
        <v>251</v>
      </c>
      <c r="L924" s="81" t="s">
        <v>250</v>
      </c>
      <c r="M924" s="82" t="str">
        <f>LEFT(Table1[[#This Row],[Tegevusala kood]],2)</f>
        <v>09</v>
      </c>
      <c r="N924" s="53" t="str">
        <f>VLOOKUP(Table1[[#This Row],[Tegevusala kood]],Table4[[Tegevusala kood]:[Tegevusala alanimetus]],2,FALSE)</f>
        <v>Vinni-Pajusti Gümnaasium</v>
      </c>
      <c r="O924" s="42"/>
      <c r="P924" s="42"/>
      <c r="Q924" s="53" t="str">
        <f>VLOOKUP(Table1[[#This Row],[Eelarvekonto]],Table5[[Konto]:[Kontode alanimetus]],5,FALSE)</f>
        <v>Majandamiskulud</v>
      </c>
      <c r="R924" s="53" t="str">
        <f>VLOOKUP(Table1[[#This Row],[Tegevusala kood]],Table4[[Tegevusala kood]:[Tegevusala alanimetus]],4,FALSE)</f>
        <v>Põhihariduse otsekulud</v>
      </c>
      <c r="S924" s="53"/>
      <c r="T924" s="53"/>
      <c r="U924" s="53">
        <f>Table1[[#This Row],[Summa]]+Table1[[#This Row],[I Muudatus]]+Table1[[#This Row],[II Muudatus]]</f>
        <v>11000</v>
      </c>
    </row>
    <row r="925" spans="1:21" ht="14.25" hidden="1" customHeight="1" x14ac:dyDescent="0.25">
      <c r="A925" s="42" t="s">
        <v>1206</v>
      </c>
      <c r="B925" s="42">
        <v>55000</v>
      </c>
      <c r="C925" s="53">
        <v>5524</v>
      </c>
      <c r="D925" s="53" t="str">
        <f>LEFT(Table1[[#This Row],[Eelarvekonto]],2)</f>
        <v>55</v>
      </c>
      <c r="E925" s="42" t="str">
        <f>VLOOKUP(Table1[[#This Row],[Eelarvekonto]],Table5[[Konto]:[Konto nimetus]],2,FALSE)</f>
        <v>Õppevahendite ja koolituse kulud</v>
      </c>
      <c r="F925" s="42" t="s">
        <v>139</v>
      </c>
      <c r="G925" s="42" t="s">
        <v>24</v>
      </c>
      <c r="H925" s="42"/>
      <c r="I925" s="42"/>
      <c r="J925" s="42" t="s">
        <v>252</v>
      </c>
      <c r="K925" s="42" t="s">
        <v>251</v>
      </c>
      <c r="L925" s="81" t="s">
        <v>250</v>
      </c>
      <c r="M925" s="82" t="str">
        <f>LEFT(Table1[[#This Row],[Tegevusala kood]],2)</f>
        <v>09</v>
      </c>
      <c r="N925" s="53" t="str">
        <f>VLOOKUP(Table1[[#This Row],[Tegevusala kood]],Table4[[Tegevusala kood]:[Tegevusala alanimetus]],2,FALSE)</f>
        <v>Vinni-Pajusti Gümnaasium</v>
      </c>
      <c r="O925" s="42"/>
      <c r="P925" s="42"/>
      <c r="Q925" s="53" t="str">
        <f>VLOOKUP(Table1[[#This Row],[Eelarvekonto]],Table5[[Konto]:[Kontode alanimetus]],5,FALSE)</f>
        <v>Majandamiskulud</v>
      </c>
      <c r="R925" s="53" t="str">
        <f>VLOOKUP(Table1[[#This Row],[Tegevusala kood]],Table4[[Tegevusala kood]:[Tegevusala alanimetus]],4,FALSE)</f>
        <v>Põhihariduse otsekulud</v>
      </c>
      <c r="S925" s="53"/>
      <c r="T925" s="53"/>
      <c r="U925" s="53">
        <f>Table1[[#This Row],[Summa]]+Table1[[#This Row],[I Muudatus]]+Table1[[#This Row],[II Muudatus]]</f>
        <v>55000</v>
      </c>
    </row>
    <row r="926" spans="1:21" ht="14.25" hidden="1" customHeight="1" x14ac:dyDescent="0.25">
      <c r="A926" s="42" t="s">
        <v>1207</v>
      </c>
      <c r="B926" s="42">
        <v>800</v>
      </c>
      <c r="C926" s="53">
        <v>5511</v>
      </c>
      <c r="D926" s="53" t="str">
        <f>LEFT(Table1[[#This Row],[Eelarvekonto]],2)</f>
        <v>55</v>
      </c>
      <c r="E926" s="42" t="str">
        <f>VLOOKUP(Table1[[#This Row],[Eelarvekonto]],Table5[[Konto]:[Konto nimetus]],2,FALSE)</f>
        <v>Kinnistute, hoonete ja ruumide majandamiskulud</v>
      </c>
      <c r="F926" s="42" t="s">
        <v>139</v>
      </c>
      <c r="G926" s="42" t="s">
        <v>24</v>
      </c>
      <c r="H926" s="42"/>
      <c r="I926" s="42"/>
      <c r="J926" s="42" t="s">
        <v>252</v>
      </c>
      <c r="K926" s="42" t="s">
        <v>251</v>
      </c>
      <c r="L926" s="81" t="s">
        <v>250</v>
      </c>
      <c r="M926" s="82" t="str">
        <f>LEFT(Table1[[#This Row],[Tegevusala kood]],2)</f>
        <v>09</v>
      </c>
      <c r="N926" s="53" t="str">
        <f>VLOOKUP(Table1[[#This Row],[Tegevusala kood]],Table4[[Tegevusala kood]:[Tegevusala alanimetus]],2,FALSE)</f>
        <v>Vinni-Pajusti Gümnaasium</v>
      </c>
      <c r="O926" s="42"/>
      <c r="P926" s="42"/>
      <c r="Q926" s="53" t="str">
        <f>VLOOKUP(Table1[[#This Row],[Eelarvekonto]],Table5[[Konto]:[Kontode alanimetus]],5,FALSE)</f>
        <v>Majandamiskulud</v>
      </c>
      <c r="R926" s="53" t="str">
        <f>VLOOKUP(Table1[[#This Row],[Tegevusala kood]],Table4[[Tegevusala kood]:[Tegevusala alanimetus]],4,FALSE)</f>
        <v>Põhihariduse otsekulud</v>
      </c>
      <c r="S926" s="53"/>
      <c r="T926" s="53"/>
      <c r="U926" s="53">
        <f>Table1[[#This Row],[Summa]]+Table1[[#This Row],[I Muudatus]]+Table1[[#This Row],[II Muudatus]]</f>
        <v>800</v>
      </c>
    </row>
    <row r="927" spans="1:21" ht="14.25" hidden="1" customHeight="1" x14ac:dyDescent="0.25">
      <c r="A927" s="42" t="s">
        <v>1208</v>
      </c>
      <c r="B927" s="42">
        <v>9920</v>
      </c>
      <c r="C927" s="53">
        <v>5511</v>
      </c>
      <c r="D927" s="53" t="str">
        <f>LEFT(Table1[[#This Row],[Eelarvekonto]],2)</f>
        <v>55</v>
      </c>
      <c r="E927" s="42" t="str">
        <f>VLOOKUP(Table1[[#This Row],[Eelarvekonto]],Table5[[Konto]:[Konto nimetus]],2,FALSE)</f>
        <v>Kinnistute, hoonete ja ruumide majandamiskulud</v>
      </c>
      <c r="F927" s="42" t="s">
        <v>139</v>
      </c>
      <c r="G927" s="42" t="s">
        <v>24</v>
      </c>
      <c r="H927" s="42"/>
      <c r="I927" s="42"/>
      <c r="J927" s="42" t="s">
        <v>252</v>
      </c>
      <c r="K927" s="42" t="s">
        <v>251</v>
      </c>
      <c r="L927" s="81" t="s">
        <v>250</v>
      </c>
      <c r="M927" s="82" t="str">
        <f>LEFT(Table1[[#This Row],[Tegevusala kood]],2)</f>
        <v>09</v>
      </c>
      <c r="N927" s="53" t="str">
        <f>VLOOKUP(Table1[[#This Row],[Tegevusala kood]],Table4[[Tegevusala kood]:[Tegevusala alanimetus]],2,FALSE)</f>
        <v>Vinni-Pajusti Gümnaasium</v>
      </c>
      <c r="O927" s="42"/>
      <c r="P927" s="42"/>
      <c r="Q927" s="53" t="str">
        <f>VLOOKUP(Table1[[#This Row],[Eelarvekonto]],Table5[[Konto]:[Kontode alanimetus]],5,FALSE)</f>
        <v>Majandamiskulud</v>
      </c>
      <c r="R927" s="53" t="str">
        <f>VLOOKUP(Table1[[#This Row],[Tegevusala kood]],Table4[[Tegevusala kood]:[Tegevusala alanimetus]],4,FALSE)</f>
        <v>Põhihariduse otsekulud</v>
      </c>
      <c r="S927" s="53"/>
      <c r="T927" s="53"/>
      <c r="U927" s="53">
        <f>Table1[[#This Row],[Summa]]+Table1[[#This Row],[I Muudatus]]+Table1[[#This Row],[II Muudatus]]</f>
        <v>9920</v>
      </c>
    </row>
    <row r="928" spans="1:21" ht="14.25" hidden="1" customHeight="1" x14ac:dyDescent="0.25">
      <c r="A928" s="42" t="s">
        <v>1209</v>
      </c>
      <c r="B928" s="42">
        <v>9530</v>
      </c>
      <c r="C928" s="53">
        <v>5511</v>
      </c>
      <c r="D928" s="53" t="str">
        <f>LEFT(Table1[[#This Row],[Eelarvekonto]],2)</f>
        <v>55</v>
      </c>
      <c r="E928" s="42" t="str">
        <f>VLOOKUP(Table1[[#This Row],[Eelarvekonto]],Table5[[Konto]:[Konto nimetus]],2,FALSE)</f>
        <v>Kinnistute, hoonete ja ruumide majandamiskulud</v>
      </c>
      <c r="F928" s="42" t="s">
        <v>139</v>
      </c>
      <c r="G928" s="42" t="s">
        <v>24</v>
      </c>
      <c r="H928" s="42"/>
      <c r="I928" s="42"/>
      <c r="J928" s="42" t="s">
        <v>252</v>
      </c>
      <c r="K928" s="42" t="s">
        <v>251</v>
      </c>
      <c r="L928" s="81" t="s">
        <v>250</v>
      </c>
      <c r="M928" s="82" t="str">
        <f>LEFT(Table1[[#This Row],[Tegevusala kood]],2)</f>
        <v>09</v>
      </c>
      <c r="N928" s="53" t="str">
        <f>VLOOKUP(Table1[[#This Row],[Tegevusala kood]],Table4[[Tegevusala kood]:[Tegevusala alanimetus]],2,FALSE)</f>
        <v>Vinni-Pajusti Gümnaasium</v>
      </c>
      <c r="O928" s="42"/>
      <c r="P928" s="42"/>
      <c r="Q928" s="53" t="str">
        <f>VLOOKUP(Table1[[#This Row],[Eelarvekonto]],Table5[[Konto]:[Kontode alanimetus]],5,FALSE)</f>
        <v>Majandamiskulud</v>
      </c>
      <c r="R928" s="53" t="str">
        <f>VLOOKUP(Table1[[#This Row],[Tegevusala kood]],Table4[[Tegevusala kood]:[Tegevusala alanimetus]],4,FALSE)</f>
        <v>Põhihariduse otsekulud</v>
      </c>
      <c r="S928" s="53"/>
      <c r="T928" s="53"/>
      <c r="U928" s="53">
        <f>Table1[[#This Row],[Summa]]+Table1[[#This Row],[I Muudatus]]+Table1[[#This Row],[II Muudatus]]</f>
        <v>9530</v>
      </c>
    </row>
    <row r="929" spans="1:21" ht="14.25" hidden="1" customHeight="1" x14ac:dyDescent="0.25">
      <c r="A929" s="42" t="s">
        <v>1210</v>
      </c>
      <c r="B929" s="42">
        <v>9200</v>
      </c>
      <c r="C929" s="53">
        <v>5511</v>
      </c>
      <c r="D929" s="53" t="str">
        <f>LEFT(Table1[[#This Row],[Eelarvekonto]],2)</f>
        <v>55</v>
      </c>
      <c r="E929" s="42" t="str">
        <f>VLOOKUP(Table1[[#This Row],[Eelarvekonto]],Table5[[Konto]:[Konto nimetus]],2,FALSE)</f>
        <v>Kinnistute, hoonete ja ruumide majandamiskulud</v>
      </c>
      <c r="F929" s="42" t="s">
        <v>139</v>
      </c>
      <c r="G929" s="42" t="s">
        <v>24</v>
      </c>
      <c r="H929" s="42"/>
      <c r="I929" s="42"/>
      <c r="J929" s="42" t="s">
        <v>252</v>
      </c>
      <c r="K929" s="42" t="s">
        <v>251</v>
      </c>
      <c r="L929" s="81" t="s">
        <v>250</v>
      </c>
      <c r="M929" s="82" t="str">
        <f>LEFT(Table1[[#This Row],[Tegevusala kood]],2)</f>
        <v>09</v>
      </c>
      <c r="N929" s="53" t="str">
        <f>VLOOKUP(Table1[[#This Row],[Tegevusala kood]],Table4[[Tegevusala kood]:[Tegevusala alanimetus]],2,FALSE)</f>
        <v>Vinni-Pajusti Gümnaasium</v>
      </c>
      <c r="O929" s="42"/>
      <c r="P929" s="42"/>
      <c r="Q929" s="53" t="str">
        <f>VLOOKUP(Table1[[#This Row],[Eelarvekonto]],Table5[[Konto]:[Kontode alanimetus]],5,FALSE)</f>
        <v>Majandamiskulud</v>
      </c>
      <c r="R929" s="53" t="str">
        <f>VLOOKUP(Table1[[#This Row],[Tegevusala kood]],Table4[[Tegevusala kood]:[Tegevusala alanimetus]],4,FALSE)</f>
        <v>Põhihariduse otsekulud</v>
      </c>
      <c r="S929" s="53"/>
      <c r="T929" s="53"/>
      <c r="U929" s="53">
        <f>Table1[[#This Row],[Summa]]+Table1[[#This Row],[I Muudatus]]+Table1[[#This Row],[II Muudatus]]</f>
        <v>9200</v>
      </c>
    </row>
    <row r="930" spans="1:21" ht="14.25" hidden="1" customHeight="1" x14ac:dyDescent="0.25">
      <c r="A930" s="42" t="s">
        <v>1211</v>
      </c>
      <c r="B930" s="42">
        <v>1500</v>
      </c>
      <c r="C930" s="53">
        <v>5511</v>
      </c>
      <c r="D930" s="53" t="str">
        <f>LEFT(Table1[[#This Row],[Eelarvekonto]],2)</f>
        <v>55</v>
      </c>
      <c r="E930" s="42" t="str">
        <f>VLOOKUP(Table1[[#This Row],[Eelarvekonto]],Table5[[Konto]:[Konto nimetus]],2,FALSE)</f>
        <v>Kinnistute, hoonete ja ruumide majandamiskulud</v>
      </c>
      <c r="F930" s="42" t="s">
        <v>139</v>
      </c>
      <c r="G930" s="42" t="s">
        <v>24</v>
      </c>
      <c r="H930" s="42"/>
      <c r="I930" s="42"/>
      <c r="J930" s="42" t="s">
        <v>252</v>
      </c>
      <c r="K930" s="42" t="s">
        <v>251</v>
      </c>
      <c r="L930" s="81" t="s">
        <v>250</v>
      </c>
      <c r="M930" s="82" t="str">
        <f>LEFT(Table1[[#This Row],[Tegevusala kood]],2)</f>
        <v>09</v>
      </c>
      <c r="N930" s="53" t="str">
        <f>VLOOKUP(Table1[[#This Row],[Tegevusala kood]],Table4[[Tegevusala kood]:[Tegevusala alanimetus]],2,FALSE)</f>
        <v>Vinni-Pajusti Gümnaasium</v>
      </c>
      <c r="O930" s="42"/>
      <c r="P930" s="42"/>
      <c r="Q930" s="53" t="str">
        <f>VLOOKUP(Table1[[#This Row],[Eelarvekonto]],Table5[[Konto]:[Kontode alanimetus]],5,FALSE)</f>
        <v>Majandamiskulud</v>
      </c>
      <c r="R930" s="53" t="str">
        <f>VLOOKUP(Table1[[#This Row],[Tegevusala kood]],Table4[[Tegevusala kood]:[Tegevusala alanimetus]],4,FALSE)</f>
        <v>Põhihariduse otsekulud</v>
      </c>
      <c r="S930" s="53"/>
      <c r="T930" s="53"/>
      <c r="U930" s="53">
        <f>Table1[[#This Row],[Summa]]+Table1[[#This Row],[I Muudatus]]+Table1[[#This Row],[II Muudatus]]</f>
        <v>1500</v>
      </c>
    </row>
    <row r="931" spans="1:21" ht="14.25" hidden="1" customHeight="1" x14ac:dyDescent="0.25">
      <c r="A931" s="42" t="s">
        <v>140</v>
      </c>
      <c r="B931" s="42">
        <v>100</v>
      </c>
      <c r="C931" s="53">
        <v>5504</v>
      </c>
      <c r="D931" s="53" t="str">
        <f>LEFT(Table1[[#This Row],[Eelarvekonto]],2)</f>
        <v>55</v>
      </c>
      <c r="E931" s="42" t="str">
        <f>VLOOKUP(Table1[[#This Row],[Eelarvekonto]],Table5[[Konto]:[Konto nimetus]],2,FALSE)</f>
        <v>Koolituskulud (sh koolituslähetus)</v>
      </c>
      <c r="F931" s="42" t="s">
        <v>139</v>
      </c>
      <c r="G931" s="42" t="s">
        <v>24</v>
      </c>
      <c r="H931" s="42"/>
      <c r="I931" s="42"/>
      <c r="J931" s="42" t="s">
        <v>242</v>
      </c>
      <c r="K931" s="42" t="s">
        <v>241</v>
      </c>
      <c r="L931" s="81" t="s">
        <v>240</v>
      </c>
      <c r="M931" s="82" t="str">
        <f>LEFT(Table1[[#This Row],[Tegevusala kood]],2)</f>
        <v>08</v>
      </c>
      <c r="N931" s="53" t="str">
        <f>VLOOKUP(Table1[[#This Row],[Tegevusala kood]],Table4[[Tegevusala kood]:[Tegevusala alanimetus]],2,FALSE)</f>
        <v>Tudu Raamatukogu</v>
      </c>
      <c r="O931" s="42"/>
      <c r="P931" s="42"/>
      <c r="Q931" s="53" t="str">
        <f>VLOOKUP(Table1[[#This Row],[Eelarvekonto]],Table5[[Konto]:[Kontode alanimetus]],5,FALSE)</f>
        <v>Majandamiskulud</v>
      </c>
      <c r="R931" s="53" t="str">
        <f>VLOOKUP(Table1[[#This Row],[Tegevusala kood]],Table4[[Tegevusala kood]:[Tegevusala alanimetus]],4,FALSE)</f>
        <v>Raamatukogud</v>
      </c>
      <c r="S931" s="53"/>
      <c r="T931" s="53"/>
      <c r="U931" s="53">
        <f>Table1[[#This Row],[Summa]]+Table1[[#This Row],[I Muudatus]]+Table1[[#This Row],[II Muudatus]]</f>
        <v>100</v>
      </c>
    </row>
    <row r="932" spans="1:21" ht="14.25" hidden="1" customHeight="1" x14ac:dyDescent="0.25">
      <c r="A932" s="42" t="s">
        <v>248</v>
      </c>
      <c r="B932" s="42">
        <v>800</v>
      </c>
      <c r="C932" s="53">
        <v>5500</v>
      </c>
      <c r="D932" s="53" t="str">
        <f>LEFT(Table1[[#This Row],[Eelarvekonto]],2)</f>
        <v>55</v>
      </c>
      <c r="E932" s="42" t="str">
        <f>VLOOKUP(Table1[[#This Row],[Eelarvekonto]],Table5[[Konto]:[Konto nimetus]],2,FALSE)</f>
        <v>Administreerimiskulud</v>
      </c>
      <c r="F932" s="42" t="s">
        <v>139</v>
      </c>
      <c r="G932" s="42" t="s">
        <v>24</v>
      </c>
      <c r="H932" s="42"/>
      <c r="I932" s="42"/>
      <c r="J932" s="42" t="s">
        <v>242</v>
      </c>
      <c r="K932" s="42" t="s">
        <v>241</v>
      </c>
      <c r="L932" s="81" t="s">
        <v>240</v>
      </c>
      <c r="M932" s="82" t="str">
        <f>LEFT(Table1[[#This Row],[Tegevusala kood]],2)</f>
        <v>08</v>
      </c>
      <c r="N932" s="53" t="str">
        <f>VLOOKUP(Table1[[#This Row],[Tegevusala kood]],Table4[[Tegevusala kood]:[Tegevusala alanimetus]],2,FALSE)</f>
        <v>Tudu Raamatukogu</v>
      </c>
      <c r="O932" s="42"/>
      <c r="P932" s="42"/>
      <c r="Q932" s="53" t="str">
        <f>VLOOKUP(Table1[[#This Row],[Eelarvekonto]],Table5[[Konto]:[Kontode alanimetus]],5,FALSE)</f>
        <v>Majandamiskulud</v>
      </c>
      <c r="R932" s="53" t="str">
        <f>VLOOKUP(Table1[[#This Row],[Tegevusala kood]],Table4[[Tegevusala kood]:[Tegevusala alanimetus]],4,FALSE)</f>
        <v>Raamatukogud</v>
      </c>
      <c r="S932" s="53"/>
      <c r="T932" s="53"/>
      <c r="U932" s="53">
        <f>Table1[[#This Row],[Summa]]+Table1[[#This Row],[I Muudatus]]+Table1[[#This Row],[II Muudatus]]</f>
        <v>800</v>
      </c>
    </row>
    <row r="933" spans="1:21" ht="14.25" hidden="1" customHeight="1" x14ac:dyDescent="0.25">
      <c r="A933" s="42" t="s">
        <v>232</v>
      </c>
      <c r="B933" s="42">
        <v>1000</v>
      </c>
      <c r="C933" s="53">
        <v>5523</v>
      </c>
      <c r="D933" s="53" t="str">
        <f>LEFT(Table1[[#This Row],[Eelarvekonto]],2)</f>
        <v>55</v>
      </c>
      <c r="E933" s="42" t="str">
        <f>VLOOKUP(Table1[[#This Row],[Eelarvekonto]],Table5[[Konto]:[Konto nimetus]],2,FALSE)</f>
        <v>Teavikute ja kunstiesemete kulud</v>
      </c>
      <c r="F933" s="42" t="s">
        <v>139</v>
      </c>
      <c r="G933" s="42" t="s">
        <v>24</v>
      </c>
      <c r="H933" s="42"/>
      <c r="I933" s="42"/>
      <c r="J933" s="42" t="s">
        <v>242</v>
      </c>
      <c r="K933" s="42" t="s">
        <v>241</v>
      </c>
      <c r="L933" s="81" t="s">
        <v>240</v>
      </c>
      <c r="M933" s="82" t="str">
        <f>LEFT(Table1[[#This Row],[Tegevusala kood]],2)</f>
        <v>08</v>
      </c>
      <c r="N933" s="53" t="str">
        <f>VLOOKUP(Table1[[#This Row],[Tegevusala kood]],Table4[[Tegevusala kood]:[Tegevusala alanimetus]],2,FALSE)</f>
        <v>Tudu Raamatukogu</v>
      </c>
      <c r="O933" s="42"/>
      <c r="P933" s="42"/>
      <c r="Q933" s="53" t="str">
        <f>VLOOKUP(Table1[[#This Row],[Eelarvekonto]],Table5[[Konto]:[Kontode alanimetus]],5,FALSE)</f>
        <v>Majandamiskulud</v>
      </c>
      <c r="R933" s="53" t="str">
        <f>VLOOKUP(Table1[[#This Row],[Tegevusala kood]],Table4[[Tegevusala kood]:[Tegevusala alanimetus]],4,FALSE)</f>
        <v>Raamatukogud</v>
      </c>
      <c r="S933" s="53"/>
      <c r="T933" s="53"/>
      <c r="U933" s="53">
        <f>Table1[[#This Row],[Summa]]+Table1[[#This Row],[I Muudatus]]+Table1[[#This Row],[II Muudatus]]</f>
        <v>1000</v>
      </c>
    </row>
    <row r="934" spans="1:21" ht="14.25" hidden="1" customHeight="1" x14ac:dyDescent="0.25">
      <c r="A934" s="42" t="s">
        <v>188</v>
      </c>
      <c r="B934" s="42">
        <v>132</v>
      </c>
      <c r="C934" s="53">
        <v>5540</v>
      </c>
      <c r="D934" s="53" t="str">
        <f>LEFT(Table1[[#This Row],[Eelarvekonto]],2)</f>
        <v>55</v>
      </c>
      <c r="E934" s="42" t="str">
        <f>VLOOKUP(Table1[[#This Row],[Eelarvekonto]],Table5[[Konto]:[Konto nimetus]],2,FALSE)</f>
        <v>Mitmesugused majanduskulud</v>
      </c>
      <c r="F934" s="42" t="s">
        <v>139</v>
      </c>
      <c r="G934" s="42" t="s">
        <v>24</v>
      </c>
      <c r="H934" s="42"/>
      <c r="I934" s="42"/>
      <c r="J934" s="42" t="s">
        <v>238</v>
      </c>
      <c r="K934" s="42" t="s">
        <v>94</v>
      </c>
      <c r="L934" s="81" t="s">
        <v>237</v>
      </c>
      <c r="M934" s="82" t="str">
        <f>LEFT(Table1[[#This Row],[Tegevusala kood]],2)</f>
        <v>08</v>
      </c>
      <c r="N934" s="53" t="str">
        <f>VLOOKUP(Table1[[#This Row],[Tegevusala kood]],Table4[[Tegevusala kood]:[Tegevusala alanimetus]],2,FALSE)</f>
        <v>Ulvi Raamatukogu</v>
      </c>
      <c r="O934" s="42"/>
      <c r="P934" s="42"/>
      <c r="Q934" s="53" t="str">
        <f>VLOOKUP(Table1[[#This Row],[Eelarvekonto]],Table5[[Konto]:[Kontode alanimetus]],5,FALSE)</f>
        <v>Majandamiskulud</v>
      </c>
      <c r="R934" s="53" t="str">
        <f>VLOOKUP(Table1[[#This Row],[Tegevusala kood]],Table4[[Tegevusala kood]:[Tegevusala alanimetus]],4,FALSE)</f>
        <v>Raamatukogud</v>
      </c>
      <c r="S934" s="53"/>
      <c r="T934" s="53"/>
      <c r="U934" s="53">
        <f>Table1[[#This Row],[Summa]]+Table1[[#This Row],[I Muudatus]]+Table1[[#This Row],[II Muudatus]]</f>
        <v>132</v>
      </c>
    </row>
    <row r="935" spans="1:21" ht="14.25" hidden="1" customHeight="1" x14ac:dyDescent="0.25">
      <c r="A935" s="42" t="s">
        <v>1212</v>
      </c>
      <c r="B935" s="42">
        <v>2000</v>
      </c>
      <c r="C935" s="53">
        <v>5525</v>
      </c>
      <c r="D935" s="53" t="str">
        <f>LEFT(Table1[[#This Row],[Eelarvekonto]],2)</f>
        <v>55</v>
      </c>
      <c r="E935" s="42" t="str">
        <f>VLOOKUP(Table1[[#This Row],[Eelarvekonto]],Table5[[Konto]:[Konto nimetus]],2,FALSE)</f>
        <v>Kommunikatsiooni-, kultuuri- ja vaba aja sisustamise kulud</v>
      </c>
      <c r="F935" s="42" t="s">
        <v>139</v>
      </c>
      <c r="G935" s="42" t="s">
        <v>24</v>
      </c>
      <c r="H935" s="42"/>
      <c r="I935" s="42"/>
      <c r="J935" s="42" t="s">
        <v>238</v>
      </c>
      <c r="K935" s="42" t="s">
        <v>94</v>
      </c>
      <c r="L935" s="81" t="s">
        <v>237</v>
      </c>
      <c r="M935" s="82" t="str">
        <f>LEFT(Table1[[#This Row],[Tegevusala kood]],2)</f>
        <v>08</v>
      </c>
      <c r="N935" s="53" t="str">
        <f>VLOOKUP(Table1[[#This Row],[Tegevusala kood]],Table4[[Tegevusala kood]:[Tegevusala alanimetus]],2,FALSE)</f>
        <v>Ulvi Raamatukogu</v>
      </c>
      <c r="O935" s="42"/>
      <c r="P935" s="42"/>
      <c r="Q935" s="53" t="str">
        <f>VLOOKUP(Table1[[#This Row],[Eelarvekonto]],Table5[[Konto]:[Kontode alanimetus]],5,FALSE)</f>
        <v>Majandamiskulud</v>
      </c>
      <c r="R935" s="53" t="str">
        <f>VLOOKUP(Table1[[#This Row],[Tegevusala kood]],Table4[[Tegevusala kood]:[Tegevusala alanimetus]],4,FALSE)</f>
        <v>Raamatukogud</v>
      </c>
      <c r="S935" s="53"/>
      <c r="T935" s="53"/>
      <c r="U935" s="53">
        <f>Table1[[#This Row],[Summa]]+Table1[[#This Row],[I Muudatus]]+Table1[[#This Row],[II Muudatus]]</f>
        <v>2000</v>
      </c>
    </row>
    <row r="936" spans="1:21" ht="14.25" hidden="1" customHeight="1" x14ac:dyDescent="0.25">
      <c r="A936" s="42" t="s">
        <v>1213</v>
      </c>
      <c r="B936" s="42">
        <v>120</v>
      </c>
      <c r="C936" s="53">
        <v>5500</v>
      </c>
      <c r="D936" s="53" t="str">
        <f>LEFT(Table1[[#This Row],[Eelarvekonto]],2)</f>
        <v>55</v>
      </c>
      <c r="E936" s="42" t="str">
        <f>VLOOKUP(Table1[[#This Row],[Eelarvekonto]],Table5[[Konto]:[Konto nimetus]],2,FALSE)</f>
        <v>Administreerimiskulud</v>
      </c>
      <c r="F936" s="42" t="s">
        <v>139</v>
      </c>
      <c r="G936" s="42" t="s">
        <v>24</v>
      </c>
      <c r="H936" s="42"/>
      <c r="I936" s="42"/>
      <c r="J936" s="42" t="s">
        <v>238</v>
      </c>
      <c r="K936" s="42" t="s">
        <v>94</v>
      </c>
      <c r="L936" s="81" t="s">
        <v>237</v>
      </c>
      <c r="M936" s="82" t="str">
        <f>LEFT(Table1[[#This Row],[Tegevusala kood]],2)</f>
        <v>08</v>
      </c>
      <c r="N936" s="53" t="str">
        <f>VLOOKUP(Table1[[#This Row],[Tegevusala kood]],Table4[[Tegevusala kood]:[Tegevusala alanimetus]],2,FALSE)</f>
        <v>Ulvi Raamatukogu</v>
      </c>
      <c r="O936" s="42"/>
      <c r="P936" s="42"/>
      <c r="Q936" s="53" t="str">
        <f>VLOOKUP(Table1[[#This Row],[Eelarvekonto]],Table5[[Konto]:[Kontode alanimetus]],5,FALSE)</f>
        <v>Majandamiskulud</v>
      </c>
      <c r="R936" s="53" t="str">
        <f>VLOOKUP(Table1[[#This Row],[Tegevusala kood]],Table4[[Tegevusala kood]:[Tegevusala alanimetus]],4,FALSE)</f>
        <v>Raamatukogud</v>
      </c>
      <c r="S936" s="53"/>
      <c r="T936" s="53"/>
      <c r="U936" s="53">
        <f>Table1[[#This Row],[Summa]]+Table1[[#This Row],[I Muudatus]]+Table1[[#This Row],[II Muudatus]]</f>
        <v>120</v>
      </c>
    </row>
    <row r="937" spans="1:21" ht="14.25" hidden="1" customHeight="1" x14ac:dyDescent="0.25">
      <c r="A937" s="42" t="s">
        <v>1214</v>
      </c>
      <c r="B937" s="42">
        <v>600</v>
      </c>
      <c r="C937" s="53">
        <v>5525</v>
      </c>
      <c r="D937" s="53" t="str">
        <f>LEFT(Table1[[#This Row],[Eelarvekonto]],2)</f>
        <v>55</v>
      </c>
      <c r="E937" s="42" t="str">
        <f>VLOOKUP(Table1[[#This Row],[Eelarvekonto]],Table5[[Konto]:[Konto nimetus]],2,FALSE)</f>
        <v>Kommunikatsiooni-, kultuuri- ja vaba aja sisustamise kulud</v>
      </c>
      <c r="F937" s="42" t="s">
        <v>139</v>
      </c>
      <c r="G937" s="42" t="s">
        <v>24</v>
      </c>
      <c r="H937" s="42"/>
      <c r="I937" s="42"/>
      <c r="J937" s="42" t="s">
        <v>238</v>
      </c>
      <c r="K937" s="42" t="s">
        <v>94</v>
      </c>
      <c r="L937" s="81" t="s">
        <v>237</v>
      </c>
      <c r="M937" s="82" t="str">
        <f>LEFT(Table1[[#This Row],[Tegevusala kood]],2)</f>
        <v>08</v>
      </c>
      <c r="N937" s="53" t="str">
        <f>VLOOKUP(Table1[[#This Row],[Tegevusala kood]],Table4[[Tegevusala kood]:[Tegevusala alanimetus]],2,FALSE)</f>
        <v>Ulvi Raamatukogu</v>
      </c>
      <c r="O937" s="42"/>
      <c r="P937" s="42"/>
      <c r="Q937" s="53" t="str">
        <f>VLOOKUP(Table1[[#This Row],[Eelarvekonto]],Table5[[Konto]:[Kontode alanimetus]],5,FALSE)</f>
        <v>Majandamiskulud</v>
      </c>
      <c r="R937" s="53" t="str">
        <f>VLOOKUP(Table1[[#This Row],[Tegevusala kood]],Table4[[Tegevusala kood]:[Tegevusala alanimetus]],4,FALSE)</f>
        <v>Raamatukogud</v>
      </c>
      <c r="S937" s="53"/>
      <c r="T937" s="53"/>
      <c r="U937" s="53">
        <f>Table1[[#This Row],[Summa]]+Table1[[#This Row],[I Muudatus]]+Table1[[#This Row],[II Muudatus]]</f>
        <v>600</v>
      </c>
    </row>
    <row r="938" spans="1:21" ht="14.25" hidden="1" customHeight="1" x14ac:dyDescent="0.25">
      <c r="A938" s="42" t="s">
        <v>232</v>
      </c>
      <c r="B938" s="42">
        <v>3300</v>
      </c>
      <c r="C938" s="53">
        <v>5523</v>
      </c>
      <c r="D938" s="53" t="str">
        <f>LEFT(Table1[[#This Row],[Eelarvekonto]],2)</f>
        <v>55</v>
      </c>
      <c r="E938" s="42" t="str">
        <f>VLOOKUP(Table1[[#This Row],[Eelarvekonto]],Table5[[Konto]:[Konto nimetus]],2,FALSE)</f>
        <v>Teavikute ja kunstiesemete kulud</v>
      </c>
      <c r="F938" s="42" t="s">
        <v>139</v>
      </c>
      <c r="G938" s="42" t="s">
        <v>24</v>
      </c>
      <c r="H938" s="42"/>
      <c r="I938" s="42"/>
      <c r="J938" s="42" t="s">
        <v>238</v>
      </c>
      <c r="K938" s="42" t="s">
        <v>94</v>
      </c>
      <c r="L938" s="81" t="s">
        <v>237</v>
      </c>
      <c r="M938" s="82" t="str">
        <f>LEFT(Table1[[#This Row],[Tegevusala kood]],2)</f>
        <v>08</v>
      </c>
      <c r="N938" s="53" t="str">
        <f>VLOOKUP(Table1[[#This Row],[Tegevusala kood]],Table4[[Tegevusala kood]:[Tegevusala alanimetus]],2,FALSE)</f>
        <v>Ulvi Raamatukogu</v>
      </c>
      <c r="O938" s="42"/>
      <c r="P938" s="42"/>
      <c r="Q938" s="53" t="str">
        <f>VLOOKUP(Table1[[#This Row],[Eelarvekonto]],Table5[[Konto]:[Kontode alanimetus]],5,FALSE)</f>
        <v>Majandamiskulud</v>
      </c>
      <c r="R938" s="53" t="str">
        <f>VLOOKUP(Table1[[#This Row],[Tegevusala kood]],Table4[[Tegevusala kood]:[Tegevusala alanimetus]],4,FALSE)</f>
        <v>Raamatukogud</v>
      </c>
      <c r="S938" s="53"/>
      <c r="T938" s="53"/>
      <c r="U938" s="53">
        <f>Table1[[#This Row],[Summa]]+Table1[[#This Row],[I Muudatus]]+Table1[[#This Row],[II Muudatus]]</f>
        <v>3300</v>
      </c>
    </row>
    <row r="939" spans="1:21" ht="14.25" hidden="1" customHeight="1" x14ac:dyDescent="0.25">
      <c r="A939" s="42" t="s">
        <v>143</v>
      </c>
      <c r="B939" s="42">
        <v>200</v>
      </c>
      <c r="C939" s="53">
        <v>5511</v>
      </c>
      <c r="D939" s="53" t="str">
        <f>LEFT(Table1[[#This Row],[Eelarvekonto]],2)</f>
        <v>55</v>
      </c>
      <c r="E939" s="42" t="str">
        <f>VLOOKUP(Table1[[#This Row],[Eelarvekonto]],Table5[[Konto]:[Konto nimetus]],2,FALSE)</f>
        <v>Kinnistute, hoonete ja ruumide majandamiskulud</v>
      </c>
      <c r="F939" s="42" t="s">
        <v>139</v>
      </c>
      <c r="G939" s="42" t="s">
        <v>24</v>
      </c>
      <c r="H939" s="42"/>
      <c r="I939" s="42"/>
      <c r="J939" s="42" t="s">
        <v>238</v>
      </c>
      <c r="K939" s="42" t="s">
        <v>94</v>
      </c>
      <c r="L939" s="81" t="s">
        <v>237</v>
      </c>
      <c r="M939" s="82" t="str">
        <f>LEFT(Table1[[#This Row],[Tegevusala kood]],2)</f>
        <v>08</v>
      </c>
      <c r="N939" s="53" t="str">
        <f>VLOOKUP(Table1[[#This Row],[Tegevusala kood]],Table4[[Tegevusala kood]:[Tegevusala alanimetus]],2,FALSE)</f>
        <v>Ulvi Raamatukogu</v>
      </c>
      <c r="O939" s="42"/>
      <c r="P939" s="42"/>
      <c r="Q939" s="53" t="str">
        <f>VLOOKUP(Table1[[#This Row],[Eelarvekonto]],Table5[[Konto]:[Kontode alanimetus]],5,FALSE)</f>
        <v>Majandamiskulud</v>
      </c>
      <c r="R939" s="53" t="str">
        <f>VLOOKUP(Table1[[#This Row],[Tegevusala kood]],Table4[[Tegevusala kood]:[Tegevusala alanimetus]],4,FALSE)</f>
        <v>Raamatukogud</v>
      </c>
      <c r="S939" s="53"/>
      <c r="T939" s="53"/>
      <c r="U939" s="53">
        <f>Table1[[#This Row],[Summa]]+Table1[[#This Row],[I Muudatus]]+Table1[[#This Row],[II Muudatus]]</f>
        <v>200</v>
      </c>
    </row>
    <row r="940" spans="1:21" ht="14.25" hidden="1" customHeight="1" x14ac:dyDescent="0.25">
      <c r="A940" s="42" t="s">
        <v>1215</v>
      </c>
      <c r="B940" s="42">
        <v>80</v>
      </c>
      <c r="C940" s="53">
        <v>5500</v>
      </c>
      <c r="D940" s="53" t="str">
        <f>LEFT(Table1[[#This Row],[Eelarvekonto]],2)</f>
        <v>55</v>
      </c>
      <c r="E940" s="42" t="str">
        <f>VLOOKUP(Table1[[#This Row],[Eelarvekonto]],Table5[[Konto]:[Konto nimetus]],2,FALSE)</f>
        <v>Administreerimiskulud</v>
      </c>
      <c r="F940" s="42" t="s">
        <v>139</v>
      </c>
      <c r="G940" s="42" t="s">
        <v>24</v>
      </c>
      <c r="H940" s="42"/>
      <c r="I940" s="42"/>
      <c r="J940" s="42" t="s">
        <v>238</v>
      </c>
      <c r="K940" s="42" t="s">
        <v>94</v>
      </c>
      <c r="L940" s="81" t="s">
        <v>237</v>
      </c>
      <c r="M940" s="82" t="str">
        <f>LEFT(Table1[[#This Row],[Tegevusala kood]],2)</f>
        <v>08</v>
      </c>
      <c r="N940" s="53" t="str">
        <f>VLOOKUP(Table1[[#This Row],[Tegevusala kood]],Table4[[Tegevusala kood]:[Tegevusala alanimetus]],2,FALSE)</f>
        <v>Ulvi Raamatukogu</v>
      </c>
      <c r="O940" s="42"/>
      <c r="P940" s="42"/>
      <c r="Q940" s="53" t="str">
        <f>VLOOKUP(Table1[[#This Row],[Eelarvekonto]],Table5[[Konto]:[Kontode alanimetus]],5,FALSE)</f>
        <v>Majandamiskulud</v>
      </c>
      <c r="R940" s="53" t="str">
        <f>VLOOKUP(Table1[[#This Row],[Tegevusala kood]],Table4[[Tegevusala kood]:[Tegevusala alanimetus]],4,FALSE)</f>
        <v>Raamatukogud</v>
      </c>
      <c r="S940" s="53"/>
      <c r="T940" s="53"/>
      <c r="U940" s="53">
        <f>Table1[[#This Row],[Summa]]+Table1[[#This Row],[I Muudatus]]+Table1[[#This Row],[II Muudatus]]</f>
        <v>80</v>
      </c>
    </row>
    <row r="941" spans="1:21" ht="14.25" hidden="1" customHeight="1" x14ac:dyDescent="0.25">
      <c r="A941" s="42" t="s">
        <v>236</v>
      </c>
      <c r="B941" s="42">
        <v>1200</v>
      </c>
      <c r="C941" s="53">
        <v>5500</v>
      </c>
      <c r="D941" s="53" t="str">
        <f>LEFT(Table1[[#This Row],[Eelarvekonto]],2)</f>
        <v>55</v>
      </c>
      <c r="E941" s="42" t="str">
        <f>VLOOKUP(Table1[[#This Row],[Eelarvekonto]],Table5[[Konto]:[Konto nimetus]],2,FALSE)</f>
        <v>Administreerimiskulud</v>
      </c>
      <c r="F941" s="42" t="s">
        <v>139</v>
      </c>
      <c r="G941" s="42" t="s">
        <v>24</v>
      </c>
      <c r="H941" s="42"/>
      <c r="I941" s="42"/>
      <c r="J941" s="42" t="s">
        <v>238</v>
      </c>
      <c r="K941" s="42" t="s">
        <v>94</v>
      </c>
      <c r="L941" s="81" t="s">
        <v>237</v>
      </c>
      <c r="M941" s="82" t="str">
        <f>LEFT(Table1[[#This Row],[Tegevusala kood]],2)</f>
        <v>08</v>
      </c>
      <c r="N941" s="53" t="str">
        <f>VLOOKUP(Table1[[#This Row],[Tegevusala kood]],Table4[[Tegevusala kood]:[Tegevusala alanimetus]],2,FALSE)</f>
        <v>Ulvi Raamatukogu</v>
      </c>
      <c r="O941" s="42"/>
      <c r="P941" s="42"/>
      <c r="Q941" s="53" t="str">
        <f>VLOOKUP(Table1[[#This Row],[Eelarvekonto]],Table5[[Konto]:[Kontode alanimetus]],5,FALSE)</f>
        <v>Majandamiskulud</v>
      </c>
      <c r="R941" s="53" t="str">
        <f>VLOOKUP(Table1[[#This Row],[Tegevusala kood]],Table4[[Tegevusala kood]:[Tegevusala alanimetus]],4,FALSE)</f>
        <v>Raamatukogud</v>
      </c>
      <c r="S941" s="53"/>
      <c r="T941" s="53"/>
      <c r="U941" s="53">
        <f>Table1[[#This Row],[Summa]]+Table1[[#This Row],[I Muudatus]]+Table1[[#This Row],[II Muudatus]]</f>
        <v>1200</v>
      </c>
    </row>
    <row r="942" spans="1:21" ht="14.25" hidden="1" customHeight="1" x14ac:dyDescent="0.25">
      <c r="A942" s="42" t="s">
        <v>140</v>
      </c>
      <c r="B942" s="42">
        <v>350</v>
      </c>
      <c r="C942" s="53">
        <v>5504</v>
      </c>
      <c r="D942" s="53" t="str">
        <f>LEFT(Table1[[#This Row],[Eelarvekonto]],2)</f>
        <v>55</v>
      </c>
      <c r="E942" s="42" t="str">
        <f>VLOOKUP(Table1[[#This Row],[Eelarvekonto]],Table5[[Konto]:[Konto nimetus]],2,FALSE)</f>
        <v>Koolituskulud (sh koolituslähetus)</v>
      </c>
      <c r="F942" s="42" t="s">
        <v>139</v>
      </c>
      <c r="G942" s="42" t="s">
        <v>24</v>
      </c>
      <c r="H942" s="42"/>
      <c r="I942" s="42"/>
      <c r="J942" s="42" t="s">
        <v>238</v>
      </c>
      <c r="K942" s="42" t="s">
        <v>94</v>
      </c>
      <c r="L942" s="81" t="s">
        <v>237</v>
      </c>
      <c r="M942" s="82" t="str">
        <f>LEFT(Table1[[#This Row],[Tegevusala kood]],2)</f>
        <v>08</v>
      </c>
      <c r="N942" s="53" t="str">
        <f>VLOOKUP(Table1[[#This Row],[Tegevusala kood]],Table4[[Tegevusala kood]:[Tegevusala alanimetus]],2,FALSE)</f>
        <v>Ulvi Raamatukogu</v>
      </c>
      <c r="O942" s="42"/>
      <c r="P942" s="42"/>
      <c r="Q942" s="53" t="str">
        <f>VLOOKUP(Table1[[#This Row],[Eelarvekonto]],Table5[[Konto]:[Kontode alanimetus]],5,FALSE)</f>
        <v>Majandamiskulud</v>
      </c>
      <c r="R942" s="53" t="str">
        <f>VLOOKUP(Table1[[#This Row],[Tegevusala kood]],Table4[[Tegevusala kood]:[Tegevusala alanimetus]],4,FALSE)</f>
        <v>Raamatukogud</v>
      </c>
      <c r="S942" s="53"/>
      <c r="T942" s="53"/>
      <c r="U942" s="53">
        <f>Table1[[#This Row],[Summa]]+Table1[[#This Row],[I Muudatus]]+Table1[[#This Row],[II Muudatus]]</f>
        <v>350</v>
      </c>
    </row>
    <row r="943" spans="1:21" ht="14.25" hidden="1" customHeight="1" x14ac:dyDescent="0.25">
      <c r="A943" s="42" t="s">
        <v>140</v>
      </c>
      <c r="B943" s="42">
        <v>600</v>
      </c>
      <c r="C943" s="53">
        <v>5504</v>
      </c>
      <c r="D943" s="53" t="str">
        <f>LEFT(Table1[[#This Row],[Eelarvekonto]],2)</f>
        <v>55</v>
      </c>
      <c r="E943" s="42" t="str">
        <f>VLOOKUP(Table1[[#This Row],[Eelarvekonto]],Table5[[Konto]:[Konto nimetus]],2,FALSE)</f>
        <v>Koolituskulud (sh koolituslähetus)</v>
      </c>
      <c r="F943" s="42" t="s">
        <v>139</v>
      </c>
      <c r="G943" s="42" t="s">
        <v>24</v>
      </c>
      <c r="H943" s="42"/>
      <c r="I943" s="42"/>
      <c r="J943" s="42" t="s">
        <v>365</v>
      </c>
      <c r="K943" s="42" t="s">
        <v>364</v>
      </c>
      <c r="L943" s="81" t="s">
        <v>390</v>
      </c>
      <c r="M943" s="82" t="str">
        <f>LEFT(Table1[[#This Row],[Tegevusala kood]],2)</f>
        <v>10</v>
      </c>
      <c r="N943" s="53" t="str">
        <f>VLOOKUP(Table1[[#This Row],[Tegevusala kood]],Table4[[Tegevusala kood]:[Tegevusala alanimetus]],2,FALSE)</f>
        <v>Hooldajad</v>
      </c>
      <c r="O943" s="42"/>
      <c r="P943" s="42"/>
      <c r="Q943" s="53" t="str">
        <f>VLOOKUP(Table1[[#This Row],[Eelarvekonto]],Table5[[Konto]:[Kontode alanimetus]],5,FALSE)</f>
        <v>Majandamiskulud</v>
      </c>
      <c r="R943" s="53" t="str">
        <f>VLOOKUP(Table1[[#This Row],[Tegevusala kood]],Table4[[Tegevusala kood]:[Tegevusala alanimetus]],4,FALSE)</f>
        <v>Muu eakate sotsiaalne kaitse</v>
      </c>
      <c r="S943" s="53"/>
      <c r="T943" s="53"/>
      <c r="U943" s="53">
        <f>Table1[[#This Row],[Summa]]+Table1[[#This Row],[I Muudatus]]+Table1[[#This Row],[II Muudatus]]</f>
        <v>600</v>
      </c>
    </row>
    <row r="944" spans="1:21" ht="14.25" hidden="1" customHeight="1" x14ac:dyDescent="0.25">
      <c r="A944" s="42" t="s">
        <v>1216</v>
      </c>
      <c r="B944" s="42">
        <v>2000</v>
      </c>
      <c r="C944" s="53">
        <v>5513</v>
      </c>
      <c r="D944" s="53" t="str">
        <f>LEFT(Table1[[#This Row],[Eelarvekonto]],2)</f>
        <v>55</v>
      </c>
      <c r="E944" s="42" t="str">
        <f>VLOOKUP(Table1[[#This Row],[Eelarvekonto]],Table5[[Konto]:[Konto nimetus]],2,FALSE)</f>
        <v>Sõidukite ülalpidamise kulud</v>
      </c>
      <c r="F944" s="42" t="s">
        <v>139</v>
      </c>
      <c r="G944" s="42" t="s">
        <v>24</v>
      </c>
      <c r="H944" s="42"/>
      <c r="I944" s="42"/>
      <c r="J944" s="42" t="s">
        <v>365</v>
      </c>
      <c r="K944" s="42" t="s">
        <v>364</v>
      </c>
      <c r="L944" s="81" t="s">
        <v>390</v>
      </c>
      <c r="M944" s="82" t="str">
        <f>LEFT(Table1[[#This Row],[Tegevusala kood]],2)</f>
        <v>10</v>
      </c>
      <c r="N944" s="53" t="str">
        <f>VLOOKUP(Table1[[#This Row],[Tegevusala kood]],Table4[[Tegevusala kood]:[Tegevusala alanimetus]],2,FALSE)</f>
        <v>Hooldajad</v>
      </c>
      <c r="O944" s="42"/>
      <c r="P944" s="42"/>
      <c r="Q944" s="53" t="str">
        <f>VLOOKUP(Table1[[#This Row],[Eelarvekonto]],Table5[[Konto]:[Kontode alanimetus]],5,FALSE)</f>
        <v>Majandamiskulud</v>
      </c>
      <c r="R944" s="53" t="str">
        <f>VLOOKUP(Table1[[#This Row],[Tegevusala kood]],Table4[[Tegevusala kood]:[Tegevusala alanimetus]],4,FALSE)</f>
        <v>Muu eakate sotsiaalne kaitse</v>
      </c>
      <c r="S944" s="53"/>
      <c r="T944" s="53"/>
      <c r="U944" s="53">
        <f>Table1[[#This Row],[Summa]]+Table1[[#This Row],[I Muudatus]]+Table1[[#This Row],[II Muudatus]]</f>
        <v>2000</v>
      </c>
    </row>
    <row r="945" spans="1:21" ht="14.25" hidden="1" customHeight="1" x14ac:dyDescent="0.25">
      <c r="A945" s="42" t="s">
        <v>1217</v>
      </c>
      <c r="B945" s="42">
        <v>600</v>
      </c>
      <c r="C945" s="53">
        <v>5526</v>
      </c>
      <c r="D945" s="53" t="str">
        <f>LEFT(Table1[[#This Row],[Eelarvekonto]],2)</f>
        <v>55</v>
      </c>
      <c r="E945" s="42" t="str">
        <f>VLOOKUP(Table1[[#This Row],[Eelarvekonto]],Table5[[Konto]:[Konto nimetus]],2,FALSE)</f>
        <v>Sotsiaalteenused</v>
      </c>
      <c r="F945" s="42" t="s">
        <v>139</v>
      </c>
      <c r="G945" s="42" t="s">
        <v>24</v>
      </c>
      <c r="H945" s="42"/>
      <c r="I945" s="42"/>
      <c r="J945" s="42" t="s">
        <v>365</v>
      </c>
      <c r="K945" s="42" t="s">
        <v>364</v>
      </c>
      <c r="L945" s="81" t="s">
        <v>395</v>
      </c>
      <c r="M945" s="82" t="str">
        <f>LEFT(Table1[[#This Row],[Tegevusala kood]],2)</f>
        <v>10</v>
      </c>
      <c r="N945" s="53" t="str">
        <f>VLOOKUP(Table1[[#This Row],[Tegevusala kood]],Table4[[Tegevusala kood]:[Tegevusala alanimetus]],2,FALSE)</f>
        <v>Muud</v>
      </c>
      <c r="O945" s="42"/>
      <c r="P945" s="42"/>
      <c r="Q945" s="53" t="str">
        <f>VLOOKUP(Table1[[#This Row],[Eelarvekonto]],Table5[[Konto]:[Kontode alanimetus]],5,FALSE)</f>
        <v>Majandamiskulud</v>
      </c>
      <c r="R945" s="53" t="str">
        <f>VLOOKUP(Table1[[#This Row],[Tegevusala kood]],Table4[[Tegevusala kood]:[Tegevusala alanimetus]],4,FALSE)</f>
        <v>Muu puuetega inimeste sotsiaalne kaitse</v>
      </c>
      <c r="S945" s="53"/>
      <c r="T945" s="53"/>
      <c r="U945" s="53">
        <f>Table1[[#This Row],[Summa]]+Table1[[#This Row],[I Muudatus]]+Table1[[#This Row],[II Muudatus]]</f>
        <v>600</v>
      </c>
    </row>
    <row r="946" spans="1:21" ht="14.25" hidden="1" customHeight="1" x14ac:dyDescent="0.25">
      <c r="A946" s="42" t="s">
        <v>141</v>
      </c>
      <c r="B946" s="42">
        <v>300</v>
      </c>
      <c r="C946" s="53">
        <v>5525</v>
      </c>
      <c r="D946" s="53" t="str">
        <f>LEFT(Table1[[#This Row],[Eelarvekonto]],2)</f>
        <v>55</v>
      </c>
      <c r="E946" s="42" t="str">
        <f>VLOOKUP(Table1[[#This Row],[Eelarvekonto]],Table5[[Konto]:[Konto nimetus]],2,FALSE)</f>
        <v>Kommunikatsiooni-, kultuuri- ja vaba aja sisustamise kulud</v>
      </c>
      <c r="F946" s="42" t="s">
        <v>139</v>
      </c>
      <c r="G946" s="42" t="s">
        <v>24</v>
      </c>
      <c r="H946" s="42"/>
      <c r="I946" s="42"/>
      <c r="J946" s="42" t="s">
        <v>335</v>
      </c>
      <c r="K946" s="42" t="s">
        <v>79</v>
      </c>
      <c r="L946" s="81" t="s">
        <v>334</v>
      </c>
      <c r="M946" s="82" t="str">
        <f>LEFT(Table1[[#This Row],[Tegevusala kood]],2)</f>
        <v>06</v>
      </c>
      <c r="N946" s="53" t="str">
        <f>VLOOKUP(Table1[[#This Row],[Tegevusala kood]],Table4[[Tegevusala kood]:[Tegevusala alanimetus]],2,FALSE)</f>
        <v>Laekvere teeninduspiirkond</v>
      </c>
      <c r="O946" s="42"/>
      <c r="P946" s="42"/>
      <c r="Q946" s="53" t="str">
        <f>VLOOKUP(Table1[[#This Row],[Eelarvekonto]],Table5[[Konto]:[Kontode alanimetus]],5,FALSE)</f>
        <v>Majandamiskulud</v>
      </c>
      <c r="R946" s="53" t="str">
        <f>VLOOKUP(Table1[[#This Row],[Tegevusala kood]],Table4[[Tegevusala kood]:[Tegevusala alanimetus]],4,FALSE)</f>
        <v>Muu elamu- ja kommunaalmajanduse tegevus</v>
      </c>
      <c r="S946" s="53"/>
      <c r="T946" s="53"/>
      <c r="U946" s="53">
        <f>Table1[[#This Row],[Summa]]+Table1[[#This Row],[I Muudatus]]+Table1[[#This Row],[II Muudatus]]</f>
        <v>300</v>
      </c>
    </row>
    <row r="947" spans="1:21" ht="14.25" hidden="1" customHeight="1" x14ac:dyDescent="0.25">
      <c r="A947" s="42" t="s">
        <v>151</v>
      </c>
      <c r="B947" s="42">
        <v>100</v>
      </c>
      <c r="C947" s="53">
        <v>5522</v>
      </c>
      <c r="D947" s="53" t="str">
        <f>LEFT(Table1[[#This Row],[Eelarvekonto]],2)</f>
        <v>55</v>
      </c>
      <c r="E947" s="42" t="str">
        <f>VLOOKUP(Table1[[#This Row],[Eelarvekonto]],Table5[[Konto]:[Konto nimetus]],2,FALSE)</f>
        <v>Meditsiinikulud ja hügieenikulud</v>
      </c>
      <c r="F947" s="42" t="s">
        <v>139</v>
      </c>
      <c r="G947" s="42" t="s">
        <v>24</v>
      </c>
      <c r="H947" s="42"/>
      <c r="I947" s="42"/>
      <c r="J947" s="42" t="s">
        <v>335</v>
      </c>
      <c r="K947" s="42" t="s">
        <v>79</v>
      </c>
      <c r="L947" s="81" t="s">
        <v>334</v>
      </c>
      <c r="M947" s="82" t="str">
        <f>LEFT(Table1[[#This Row],[Tegevusala kood]],2)</f>
        <v>06</v>
      </c>
      <c r="N947" s="53" t="str">
        <f>VLOOKUP(Table1[[#This Row],[Tegevusala kood]],Table4[[Tegevusala kood]:[Tegevusala alanimetus]],2,FALSE)</f>
        <v>Laekvere teeninduspiirkond</v>
      </c>
      <c r="O947" s="42"/>
      <c r="P947" s="42"/>
      <c r="Q947" s="53" t="str">
        <f>VLOOKUP(Table1[[#This Row],[Eelarvekonto]],Table5[[Konto]:[Kontode alanimetus]],5,FALSE)</f>
        <v>Majandamiskulud</v>
      </c>
      <c r="R947" s="53" t="str">
        <f>VLOOKUP(Table1[[#This Row],[Tegevusala kood]],Table4[[Tegevusala kood]:[Tegevusala alanimetus]],4,FALSE)</f>
        <v>Muu elamu- ja kommunaalmajanduse tegevus</v>
      </c>
      <c r="S947" s="53"/>
      <c r="T947" s="53"/>
      <c r="U947" s="53">
        <f>Table1[[#This Row],[Summa]]+Table1[[#This Row],[I Muudatus]]+Table1[[#This Row],[II Muudatus]]</f>
        <v>100</v>
      </c>
    </row>
    <row r="948" spans="1:21" ht="14.25" hidden="1" customHeight="1" x14ac:dyDescent="0.25">
      <c r="A948" s="42" t="s">
        <v>1218</v>
      </c>
      <c r="B948" s="42">
        <v>140</v>
      </c>
      <c r="C948" s="53">
        <v>5522</v>
      </c>
      <c r="D948" s="53" t="str">
        <f>LEFT(Table1[[#This Row],[Eelarvekonto]],2)</f>
        <v>55</v>
      </c>
      <c r="E948" s="42" t="str">
        <f>VLOOKUP(Table1[[#This Row],[Eelarvekonto]],Table5[[Konto]:[Konto nimetus]],2,FALSE)</f>
        <v>Meditsiinikulud ja hügieenikulud</v>
      </c>
      <c r="F948" s="42" t="s">
        <v>139</v>
      </c>
      <c r="G948" s="42" t="s">
        <v>24</v>
      </c>
      <c r="H948" s="42"/>
      <c r="I948" s="42"/>
      <c r="J948" s="42" t="s">
        <v>335</v>
      </c>
      <c r="K948" s="42" t="s">
        <v>79</v>
      </c>
      <c r="L948" s="81" t="s">
        <v>334</v>
      </c>
      <c r="M948" s="82" t="str">
        <f>LEFT(Table1[[#This Row],[Tegevusala kood]],2)</f>
        <v>06</v>
      </c>
      <c r="N948" s="53" t="str">
        <f>VLOOKUP(Table1[[#This Row],[Tegevusala kood]],Table4[[Tegevusala kood]:[Tegevusala alanimetus]],2,FALSE)</f>
        <v>Laekvere teeninduspiirkond</v>
      </c>
      <c r="O948" s="42"/>
      <c r="P948" s="42"/>
      <c r="Q948" s="53" t="str">
        <f>VLOOKUP(Table1[[#This Row],[Eelarvekonto]],Table5[[Konto]:[Kontode alanimetus]],5,FALSE)</f>
        <v>Majandamiskulud</v>
      </c>
      <c r="R948" s="53" t="str">
        <f>VLOOKUP(Table1[[#This Row],[Tegevusala kood]],Table4[[Tegevusala kood]:[Tegevusala alanimetus]],4,FALSE)</f>
        <v>Muu elamu- ja kommunaalmajanduse tegevus</v>
      </c>
      <c r="S948" s="53"/>
      <c r="T948" s="53"/>
      <c r="U948" s="53">
        <f>Table1[[#This Row],[Summa]]+Table1[[#This Row],[I Muudatus]]+Table1[[#This Row],[II Muudatus]]</f>
        <v>140</v>
      </c>
    </row>
    <row r="949" spans="1:21" ht="14.25" hidden="1" customHeight="1" x14ac:dyDescent="0.25">
      <c r="A949" s="42" t="s">
        <v>143</v>
      </c>
      <c r="B949" s="42">
        <v>3500</v>
      </c>
      <c r="C949" s="53">
        <v>5511</v>
      </c>
      <c r="D949" s="53" t="str">
        <f>LEFT(Table1[[#This Row],[Eelarvekonto]],2)</f>
        <v>55</v>
      </c>
      <c r="E949" s="42" t="str">
        <f>VLOOKUP(Table1[[#This Row],[Eelarvekonto]],Table5[[Konto]:[Konto nimetus]],2,FALSE)</f>
        <v>Kinnistute, hoonete ja ruumide majandamiskulud</v>
      </c>
      <c r="F949" s="42" t="s">
        <v>139</v>
      </c>
      <c r="G949" s="42" t="s">
        <v>24</v>
      </c>
      <c r="H949" s="42"/>
      <c r="I949" s="42"/>
      <c r="J949" s="42" t="s">
        <v>335</v>
      </c>
      <c r="K949" s="42" t="s">
        <v>79</v>
      </c>
      <c r="L949" s="81" t="s">
        <v>334</v>
      </c>
      <c r="M949" s="82" t="str">
        <f>LEFT(Table1[[#This Row],[Tegevusala kood]],2)</f>
        <v>06</v>
      </c>
      <c r="N949" s="53" t="str">
        <f>VLOOKUP(Table1[[#This Row],[Tegevusala kood]],Table4[[Tegevusala kood]:[Tegevusala alanimetus]],2,FALSE)</f>
        <v>Laekvere teeninduspiirkond</v>
      </c>
      <c r="O949" s="42"/>
      <c r="P949" s="42"/>
      <c r="Q949" s="53" t="str">
        <f>VLOOKUP(Table1[[#This Row],[Eelarvekonto]],Table5[[Konto]:[Kontode alanimetus]],5,FALSE)</f>
        <v>Majandamiskulud</v>
      </c>
      <c r="R949" s="53" t="str">
        <f>VLOOKUP(Table1[[#This Row],[Tegevusala kood]],Table4[[Tegevusala kood]:[Tegevusala alanimetus]],4,FALSE)</f>
        <v>Muu elamu- ja kommunaalmajanduse tegevus</v>
      </c>
      <c r="S949" s="53"/>
      <c r="T949" s="53"/>
      <c r="U949" s="53">
        <f>Table1[[#This Row],[Summa]]+Table1[[#This Row],[I Muudatus]]+Table1[[#This Row],[II Muudatus]]</f>
        <v>3500</v>
      </c>
    </row>
    <row r="950" spans="1:21" ht="14.25" hidden="1" customHeight="1" x14ac:dyDescent="0.25">
      <c r="A950" s="42" t="s">
        <v>338</v>
      </c>
      <c r="B950" s="42">
        <v>8000</v>
      </c>
      <c r="C950" s="53">
        <v>5511</v>
      </c>
      <c r="D950" s="53" t="str">
        <f>LEFT(Table1[[#This Row],[Eelarvekonto]],2)</f>
        <v>55</v>
      </c>
      <c r="E950" s="42" t="str">
        <f>VLOOKUP(Table1[[#This Row],[Eelarvekonto]],Table5[[Konto]:[Konto nimetus]],2,FALSE)</f>
        <v>Kinnistute, hoonete ja ruumide majandamiskulud</v>
      </c>
      <c r="F950" s="42" t="s">
        <v>139</v>
      </c>
      <c r="G950" s="42" t="s">
        <v>24</v>
      </c>
      <c r="H950" s="42"/>
      <c r="I950" s="42"/>
      <c r="J950" s="42" t="s">
        <v>335</v>
      </c>
      <c r="K950" s="42" t="s">
        <v>79</v>
      </c>
      <c r="L950" s="81" t="s">
        <v>334</v>
      </c>
      <c r="M950" s="82" t="str">
        <f>LEFT(Table1[[#This Row],[Tegevusala kood]],2)</f>
        <v>06</v>
      </c>
      <c r="N950" s="53" t="str">
        <f>VLOOKUP(Table1[[#This Row],[Tegevusala kood]],Table4[[Tegevusala kood]:[Tegevusala alanimetus]],2,FALSE)</f>
        <v>Laekvere teeninduspiirkond</v>
      </c>
      <c r="O950" s="42"/>
      <c r="P950" s="42"/>
      <c r="Q950" s="53" t="str">
        <f>VLOOKUP(Table1[[#This Row],[Eelarvekonto]],Table5[[Konto]:[Kontode alanimetus]],5,FALSE)</f>
        <v>Majandamiskulud</v>
      </c>
      <c r="R950" s="53" t="str">
        <f>VLOOKUP(Table1[[#This Row],[Tegevusala kood]],Table4[[Tegevusala kood]:[Tegevusala alanimetus]],4,FALSE)</f>
        <v>Muu elamu- ja kommunaalmajanduse tegevus</v>
      </c>
      <c r="S950" s="53"/>
      <c r="T950" s="53"/>
      <c r="U950" s="53">
        <f>Table1[[#This Row],[Summa]]+Table1[[#This Row],[I Muudatus]]+Table1[[#This Row],[II Muudatus]]</f>
        <v>8000</v>
      </c>
    </row>
    <row r="951" spans="1:21" ht="14.25" hidden="1" customHeight="1" x14ac:dyDescent="0.25">
      <c r="A951" s="42" t="s">
        <v>315</v>
      </c>
      <c r="B951" s="42">
        <v>1000</v>
      </c>
      <c r="C951" s="53">
        <v>5511</v>
      </c>
      <c r="D951" s="53" t="str">
        <f>LEFT(Table1[[#This Row],[Eelarvekonto]],2)</f>
        <v>55</v>
      </c>
      <c r="E951" s="42" t="str">
        <f>VLOOKUP(Table1[[#This Row],[Eelarvekonto]],Table5[[Konto]:[Konto nimetus]],2,FALSE)</f>
        <v>Kinnistute, hoonete ja ruumide majandamiskulud</v>
      </c>
      <c r="F951" s="42" t="s">
        <v>139</v>
      </c>
      <c r="G951" s="42" t="s">
        <v>24</v>
      </c>
      <c r="H951" s="42"/>
      <c r="I951" s="42"/>
      <c r="J951" s="42" t="s">
        <v>335</v>
      </c>
      <c r="K951" s="42" t="s">
        <v>79</v>
      </c>
      <c r="L951" s="81" t="s">
        <v>334</v>
      </c>
      <c r="M951" s="82" t="str">
        <f>LEFT(Table1[[#This Row],[Tegevusala kood]],2)</f>
        <v>06</v>
      </c>
      <c r="N951" s="53" t="str">
        <f>VLOOKUP(Table1[[#This Row],[Tegevusala kood]],Table4[[Tegevusala kood]:[Tegevusala alanimetus]],2,FALSE)</f>
        <v>Laekvere teeninduspiirkond</v>
      </c>
      <c r="O951" s="42"/>
      <c r="P951" s="42"/>
      <c r="Q951" s="53" t="str">
        <f>VLOOKUP(Table1[[#This Row],[Eelarvekonto]],Table5[[Konto]:[Kontode alanimetus]],5,FALSE)</f>
        <v>Majandamiskulud</v>
      </c>
      <c r="R951" s="53" t="str">
        <f>VLOOKUP(Table1[[#This Row],[Tegevusala kood]],Table4[[Tegevusala kood]:[Tegevusala alanimetus]],4,FALSE)</f>
        <v>Muu elamu- ja kommunaalmajanduse tegevus</v>
      </c>
      <c r="S951" s="53"/>
      <c r="T951" s="53"/>
      <c r="U951" s="53">
        <f>Table1[[#This Row],[Summa]]+Table1[[#This Row],[I Muudatus]]+Table1[[#This Row],[II Muudatus]]</f>
        <v>1000</v>
      </c>
    </row>
    <row r="952" spans="1:21" ht="14.25" hidden="1" customHeight="1" x14ac:dyDescent="0.25">
      <c r="A952" s="42" t="s">
        <v>337</v>
      </c>
      <c r="B952" s="42">
        <v>2000</v>
      </c>
      <c r="C952" s="53">
        <v>5511</v>
      </c>
      <c r="D952" s="53" t="str">
        <f>LEFT(Table1[[#This Row],[Eelarvekonto]],2)</f>
        <v>55</v>
      </c>
      <c r="E952" s="42" t="str">
        <f>VLOOKUP(Table1[[#This Row],[Eelarvekonto]],Table5[[Konto]:[Konto nimetus]],2,FALSE)</f>
        <v>Kinnistute, hoonete ja ruumide majandamiskulud</v>
      </c>
      <c r="F952" s="42" t="s">
        <v>139</v>
      </c>
      <c r="G952" s="42" t="s">
        <v>24</v>
      </c>
      <c r="H952" s="42"/>
      <c r="I952" s="42"/>
      <c r="J952" s="42" t="s">
        <v>335</v>
      </c>
      <c r="K952" s="42" t="s">
        <v>79</v>
      </c>
      <c r="L952" s="81" t="s">
        <v>334</v>
      </c>
      <c r="M952" s="82" t="str">
        <f>LEFT(Table1[[#This Row],[Tegevusala kood]],2)</f>
        <v>06</v>
      </c>
      <c r="N952" s="53" t="str">
        <f>VLOOKUP(Table1[[#This Row],[Tegevusala kood]],Table4[[Tegevusala kood]:[Tegevusala alanimetus]],2,FALSE)</f>
        <v>Laekvere teeninduspiirkond</v>
      </c>
      <c r="O952" s="42"/>
      <c r="P952" s="42"/>
      <c r="Q952" s="53" t="str">
        <f>VLOOKUP(Table1[[#This Row],[Eelarvekonto]],Table5[[Konto]:[Kontode alanimetus]],5,FALSE)</f>
        <v>Majandamiskulud</v>
      </c>
      <c r="R952" s="53" t="str">
        <f>VLOOKUP(Table1[[#This Row],[Tegevusala kood]],Table4[[Tegevusala kood]:[Tegevusala alanimetus]],4,FALSE)</f>
        <v>Muu elamu- ja kommunaalmajanduse tegevus</v>
      </c>
      <c r="S952" s="53"/>
      <c r="T952" s="53"/>
      <c r="U952" s="53">
        <f>Table1[[#This Row],[Summa]]+Table1[[#This Row],[I Muudatus]]+Table1[[#This Row],[II Muudatus]]</f>
        <v>2000</v>
      </c>
    </row>
    <row r="953" spans="1:21" ht="14.25" hidden="1" customHeight="1" x14ac:dyDescent="0.25">
      <c r="A953" s="42" t="s">
        <v>1219</v>
      </c>
      <c r="B953" s="42">
        <v>936</v>
      </c>
      <c r="C953" s="53">
        <v>5511</v>
      </c>
      <c r="D953" s="53" t="str">
        <f>LEFT(Table1[[#This Row],[Eelarvekonto]],2)</f>
        <v>55</v>
      </c>
      <c r="E953" s="42" t="str">
        <f>VLOOKUP(Table1[[#This Row],[Eelarvekonto]],Table5[[Konto]:[Konto nimetus]],2,FALSE)</f>
        <v>Kinnistute, hoonete ja ruumide majandamiskulud</v>
      </c>
      <c r="F953" s="42" t="s">
        <v>139</v>
      </c>
      <c r="G953" s="42" t="s">
        <v>24</v>
      </c>
      <c r="H953" s="42"/>
      <c r="I953" s="42"/>
      <c r="J953" s="42" t="s">
        <v>335</v>
      </c>
      <c r="K953" s="42" t="s">
        <v>79</v>
      </c>
      <c r="L953" s="81" t="s">
        <v>334</v>
      </c>
      <c r="M953" s="82" t="str">
        <f>LEFT(Table1[[#This Row],[Tegevusala kood]],2)</f>
        <v>06</v>
      </c>
      <c r="N953" s="53" t="str">
        <f>VLOOKUP(Table1[[#This Row],[Tegevusala kood]],Table4[[Tegevusala kood]:[Tegevusala alanimetus]],2,FALSE)</f>
        <v>Laekvere teeninduspiirkond</v>
      </c>
      <c r="O953" s="42"/>
      <c r="P953" s="42"/>
      <c r="Q953" s="53" t="str">
        <f>VLOOKUP(Table1[[#This Row],[Eelarvekonto]],Table5[[Konto]:[Kontode alanimetus]],5,FALSE)</f>
        <v>Majandamiskulud</v>
      </c>
      <c r="R953" s="53" t="str">
        <f>VLOOKUP(Table1[[#This Row],[Tegevusala kood]],Table4[[Tegevusala kood]:[Tegevusala alanimetus]],4,FALSE)</f>
        <v>Muu elamu- ja kommunaalmajanduse tegevus</v>
      </c>
      <c r="S953" s="53"/>
      <c r="T953" s="53"/>
      <c r="U953" s="53">
        <f>Table1[[#This Row],[Summa]]+Table1[[#This Row],[I Muudatus]]+Table1[[#This Row],[II Muudatus]]</f>
        <v>936</v>
      </c>
    </row>
    <row r="954" spans="1:21" ht="14.25" hidden="1" customHeight="1" x14ac:dyDescent="0.25">
      <c r="A954" s="42" t="s">
        <v>174</v>
      </c>
      <c r="B954" s="42">
        <v>1000</v>
      </c>
      <c r="C954" s="53">
        <v>5513</v>
      </c>
      <c r="D954" s="53" t="str">
        <f>LEFT(Table1[[#This Row],[Eelarvekonto]],2)</f>
        <v>55</v>
      </c>
      <c r="E954" s="42" t="str">
        <f>VLOOKUP(Table1[[#This Row],[Eelarvekonto]],Table5[[Konto]:[Konto nimetus]],2,FALSE)</f>
        <v>Sõidukite ülalpidamise kulud</v>
      </c>
      <c r="F954" s="42" t="s">
        <v>139</v>
      </c>
      <c r="G954" s="42" t="s">
        <v>24</v>
      </c>
      <c r="H954" s="42"/>
      <c r="I954" s="42"/>
      <c r="J954" s="42" t="s">
        <v>335</v>
      </c>
      <c r="K954" s="42" t="s">
        <v>79</v>
      </c>
      <c r="L954" s="81" t="s">
        <v>334</v>
      </c>
      <c r="M954" s="82" t="str">
        <f>LEFT(Table1[[#This Row],[Tegevusala kood]],2)</f>
        <v>06</v>
      </c>
      <c r="N954" s="53" t="str">
        <f>VLOOKUP(Table1[[#This Row],[Tegevusala kood]],Table4[[Tegevusala kood]:[Tegevusala alanimetus]],2,FALSE)</f>
        <v>Laekvere teeninduspiirkond</v>
      </c>
      <c r="O954" s="42"/>
      <c r="P954" s="42"/>
      <c r="Q954" s="53" t="str">
        <f>VLOOKUP(Table1[[#This Row],[Eelarvekonto]],Table5[[Konto]:[Kontode alanimetus]],5,FALSE)</f>
        <v>Majandamiskulud</v>
      </c>
      <c r="R954" s="53" t="str">
        <f>VLOOKUP(Table1[[#This Row],[Tegevusala kood]],Table4[[Tegevusala kood]:[Tegevusala alanimetus]],4,FALSE)</f>
        <v>Muu elamu- ja kommunaalmajanduse tegevus</v>
      </c>
      <c r="S954" s="53"/>
      <c r="T954" s="53"/>
      <c r="U954" s="53">
        <f>Table1[[#This Row],[Summa]]+Table1[[#This Row],[I Muudatus]]+Table1[[#This Row],[II Muudatus]]</f>
        <v>1000</v>
      </c>
    </row>
    <row r="955" spans="1:21" ht="14.25" hidden="1" customHeight="1" x14ac:dyDescent="0.25">
      <c r="A955" s="42" t="s">
        <v>1220</v>
      </c>
      <c r="B955" s="42">
        <v>560</v>
      </c>
      <c r="C955" s="53">
        <v>5513</v>
      </c>
      <c r="D955" s="53" t="str">
        <f>LEFT(Table1[[#This Row],[Eelarvekonto]],2)</f>
        <v>55</v>
      </c>
      <c r="E955" s="42" t="str">
        <f>VLOOKUP(Table1[[#This Row],[Eelarvekonto]],Table5[[Konto]:[Konto nimetus]],2,FALSE)</f>
        <v>Sõidukite ülalpidamise kulud</v>
      </c>
      <c r="F955" s="42" t="s">
        <v>139</v>
      </c>
      <c r="G955" s="42" t="s">
        <v>24</v>
      </c>
      <c r="H955" s="42"/>
      <c r="I955" s="42"/>
      <c r="J955" s="42" t="s">
        <v>335</v>
      </c>
      <c r="K955" s="42" t="s">
        <v>79</v>
      </c>
      <c r="L955" s="81" t="s">
        <v>334</v>
      </c>
      <c r="M955" s="82" t="str">
        <f>LEFT(Table1[[#This Row],[Tegevusala kood]],2)</f>
        <v>06</v>
      </c>
      <c r="N955" s="53" t="str">
        <f>VLOOKUP(Table1[[#This Row],[Tegevusala kood]],Table4[[Tegevusala kood]:[Tegevusala alanimetus]],2,FALSE)</f>
        <v>Laekvere teeninduspiirkond</v>
      </c>
      <c r="O955" s="42"/>
      <c r="P955" s="42"/>
      <c r="Q955" s="53" t="str">
        <f>VLOOKUP(Table1[[#This Row],[Eelarvekonto]],Table5[[Konto]:[Kontode alanimetus]],5,FALSE)</f>
        <v>Majandamiskulud</v>
      </c>
      <c r="R955" s="53" t="str">
        <f>VLOOKUP(Table1[[#This Row],[Tegevusala kood]],Table4[[Tegevusala kood]:[Tegevusala alanimetus]],4,FALSE)</f>
        <v>Muu elamu- ja kommunaalmajanduse tegevus</v>
      </c>
      <c r="S955" s="53"/>
      <c r="T955" s="53"/>
      <c r="U955" s="53">
        <f>Table1[[#This Row],[Summa]]+Table1[[#This Row],[I Muudatus]]+Table1[[#This Row],[II Muudatus]]</f>
        <v>560</v>
      </c>
    </row>
    <row r="956" spans="1:21" ht="14.25" hidden="1" customHeight="1" x14ac:dyDescent="0.25">
      <c r="A956" s="42" t="s">
        <v>253</v>
      </c>
      <c r="B956" s="42">
        <v>1150</v>
      </c>
      <c r="C956" s="53">
        <v>551300</v>
      </c>
      <c r="D956" s="53" t="str">
        <f>LEFT(Table1[[#This Row],[Eelarvekonto]],2)</f>
        <v>55</v>
      </c>
      <c r="E956" s="42" t="str">
        <f>VLOOKUP(Table1[[#This Row],[Eelarvekonto]],Table5[[Konto]:[Konto nimetus]],2,FALSE)</f>
        <v>Kütus</v>
      </c>
      <c r="F956" s="42" t="s">
        <v>139</v>
      </c>
      <c r="G956" s="42" t="s">
        <v>24</v>
      </c>
      <c r="H956" s="42"/>
      <c r="I956" s="42"/>
      <c r="J956" s="42" t="s">
        <v>335</v>
      </c>
      <c r="K956" s="42" t="s">
        <v>79</v>
      </c>
      <c r="L956" s="81" t="s">
        <v>334</v>
      </c>
      <c r="M956" s="82" t="str">
        <f>LEFT(Table1[[#This Row],[Tegevusala kood]],2)</f>
        <v>06</v>
      </c>
      <c r="N956" s="53" t="str">
        <f>VLOOKUP(Table1[[#This Row],[Tegevusala kood]],Table4[[Tegevusala kood]:[Tegevusala alanimetus]],2,FALSE)</f>
        <v>Laekvere teeninduspiirkond</v>
      </c>
      <c r="O956" s="42"/>
      <c r="P956" s="42"/>
      <c r="Q956" s="53" t="str">
        <f>VLOOKUP(Table1[[#This Row],[Eelarvekonto]],Table5[[Konto]:[Kontode alanimetus]],5,FALSE)</f>
        <v>Majandamiskulud</v>
      </c>
      <c r="R956" s="53" t="str">
        <f>VLOOKUP(Table1[[#This Row],[Tegevusala kood]],Table4[[Tegevusala kood]:[Tegevusala alanimetus]],4,FALSE)</f>
        <v>Muu elamu- ja kommunaalmajanduse tegevus</v>
      </c>
      <c r="S956" s="53"/>
      <c r="T956" s="53"/>
      <c r="U956" s="53">
        <f>Table1[[#This Row],[Summa]]+Table1[[#This Row],[I Muudatus]]+Table1[[#This Row],[II Muudatus]]</f>
        <v>1150</v>
      </c>
    </row>
    <row r="957" spans="1:21" ht="14.25" hidden="1" customHeight="1" x14ac:dyDescent="0.25">
      <c r="A957" s="42" t="s">
        <v>1221</v>
      </c>
      <c r="B957" s="42">
        <v>300</v>
      </c>
      <c r="C957" s="53">
        <v>5515</v>
      </c>
      <c r="D957" s="53" t="str">
        <f>LEFT(Table1[[#This Row],[Eelarvekonto]],2)</f>
        <v>55</v>
      </c>
      <c r="E957" s="42" t="str">
        <f>VLOOKUP(Table1[[#This Row],[Eelarvekonto]],Table5[[Konto]:[Konto nimetus]],2,FALSE)</f>
        <v>Inventari majandamiskulud</v>
      </c>
      <c r="F957" s="42" t="s">
        <v>139</v>
      </c>
      <c r="G957" s="42" t="s">
        <v>24</v>
      </c>
      <c r="H957" s="42"/>
      <c r="I957" s="42"/>
      <c r="J957" s="42" t="s">
        <v>335</v>
      </c>
      <c r="K957" s="42" t="s">
        <v>79</v>
      </c>
      <c r="L957" s="81" t="s">
        <v>334</v>
      </c>
      <c r="M957" s="82" t="str">
        <f>LEFT(Table1[[#This Row],[Tegevusala kood]],2)</f>
        <v>06</v>
      </c>
      <c r="N957" s="53" t="str">
        <f>VLOOKUP(Table1[[#This Row],[Tegevusala kood]],Table4[[Tegevusala kood]:[Tegevusala alanimetus]],2,FALSE)</f>
        <v>Laekvere teeninduspiirkond</v>
      </c>
      <c r="O957" s="42"/>
      <c r="P957" s="42"/>
      <c r="Q957" s="53" t="str">
        <f>VLOOKUP(Table1[[#This Row],[Eelarvekonto]],Table5[[Konto]:[Kontode alanimetus]],5,FALSE)</f>
        <v>Majandamiskulud</v>
      </c>
      <c r="R957" s="53" t="str">
        <f>VLOOKUP(Table1[[#This Row],[Tegevusala kood]],Table4[[Tegevusala kood]:[Tegevusala alanimetus]],4,FALSE)</f>
        <v>Muu elamu- ja kommunaalmajanduse tegevus</v>
      </c>
      <c r="S957" s="53"/>
      <c r="T957" s="53"/>
      <c r="U957" s="53">
        <f>Table1[[#This Row],[Summa]]+Table1[[#This Row],[I Muudatus]]+Table1[[#This Row],[II Muudatus]]</f>
        <v>300</v>
      </c>
    </row>
    <row r="958" spans="1:21" ht="14.25" hidden="1" customHeight="1" x14ac:dyDescent="0.25">
      <c r="A958" s="42" t="s">
        <v>1222</v>
      </c>
      <c r="B958" s="42">
        <v>300</v>
      </c>
      <c r="C958" s="53">
        <v>5515</v>
      </c>
      <c r="D958" s="53" t="str">
        <f>LEFT(Table1[[#This Row],[Eelarvekonto]],2)</f>
        <v>55</v>
      </c>
      <c r="E958" s="42" t="str">
        <f>VLOOKUP(Table1[[#This Row],[Eelarvekonto]],Table5[[Konto]:[Konto nimetus]],2,FALSE)</f>
        <v>Inventari majandamiskulud</v>
      </c>
      <c r="F958" s="42" t="s">
        <v>139</v>
      </c>
      <c r="G958" s="42" t="s">
        <v>24</v>
      </c>
      <c r="H958" s="42"/>
      <c r="I958" s="42"/>
      <c r="J958" s="42" t="s">
        <v>335</v>
      </c>
      <c r="K958" s="42" t="s">
        <v>79</v>
      </c>
      <c r="L958" s="81" t="s">
        <v>334</v>
      </c>
      <c r="M958" s="82" t="str">
        <f>LEFT(Table1[[#This Row],[Tegevusala kood]],2)</f>
        <v>06</v>
      </c>
      <c r="N958" s="53" t="str">
        <f>VLOOKUP(Table1[[#This Row],[Tegevusala kood]],Table4[[Tegevusala kood]:[Tegevusala alanimetus]],2,FALSE)</f>
        <v>Laekvere teeninduspiirkond</v>
      </c>
      <c r="O958" s="42"/>
      <c r="P958" s="42"/>
      <c r="Q958" s="53" t="str">
        <f>VLOOKUP(Table1[[#This Row],[Eelarvekonto]],Table5[[Konto]:[Kontode alanimetus]],5,FALSE)</f>
        <v>Majandamiskulud</v>
      </c>
      <c r="R958" s="53" t="str">
        <f>VLOOKUP(Table1[[#This Row],[Tegevusala kood]],Table4[[Tegevusala kood]:[Tegevusala alanimetus]],4,FALSE)</f>
        <v>Muu elamu- ja kommunaalmajanduse tegevus</v>
      </c>
      <c r="S958" s="53"/>
      <c r="T958" s="53"/>
      <c r="U958" s="53">
        <f>Table1[[#This Row],[Summa]]+Table1[[#This Row],[I Muudatus]]+Table1[[#This Row],[II Muudatus]]</f>
        <v>300</v>
      </c>
    </row>
    <row r="959" spans="1:21" ht="14.25" hidden="1" customHeight="1" x14ac:dyDescent="0.25">
      <c r="A959" s="42" t="s">
        <v>1223</v>
      </c>
      <c r="B959" s="42">
        <v>600</v>
      </c>
      <c r="C959" s="53">
        <v>5515</v>
      </c>
      <c r="D959" s="53" t="str">
        <f>LEFT(Table1[[#This Row],[Eelarvekonto]],2)</f>
        <v>55</v>
      </c>
      <c r="E959" s="42" t="str">
        <f>VLOOKUP(Table1[[#This Row],[Eelarvekonto]],Table5[[Konto]:[Konto nimetus]],2,FALSE)</f>
        <v>Inventari majandamiskulud</v>
      </c>
      <c r="F959" s="42" t="s">
        <v>139</v>
      </c>
      <c r="G959" s="42" t="s">
        <v>24</v>
      </c>
      <c r="H959" s="42"/>
      <c r="I959" s="42"/>
      <c r="J959" s="42" t="s">
        <v>335</v>
      </c>
      <c r="K959" s="42" t="s">
        <v>79</v>
      </c>
      <c r="L959" s="81" t="s">
        <v>334</v>
      </c>
      <c r="M959" s="82" t="str">
        <f>LEFT(Table1[[#This Row],[Tegevusala kood]],2)</f>
        <v>06</v>
      </c>
      <c r="N959" s="53" t="str">
        <f>VLOOKUP(Table1[[#This Row],[Tegevusala kood]],Table4[[Tegevusala kood]:[Tegevusala alanimetus]],2,FALSE)</f>
        <v>Laekvere teeninduspiirkond</v>
      </c>
      <c r="O959" s="42"/>
      <c r="P959" s="42"/>
      <c r="Q959" s="53" t="str">
        <f>VLOOKUP(Table1[[#This Row],[Eelarvekonto]],Table5[[Konto]:[Kontode alanimetus]],5,FALSE)</f>
        <v>Majandamiskulud</v>
      </c>
      <c r="R959" s="53" t="str">
        <f>VLOOKUP(Table1[[#This Row],[Tegevusala kood]],Table4[[Tegevusala kood]:[Tegevusala alanimetus]],4,FALSE)</f>
        <v>Muu elamu- ja kommunaalmajanduse tegevus</v>
      </c>
      <c r="S959" s="53"/>
      <c r="T959" s="53"/>
      <c r="U959" s="53">
        <f>Table1[[#This Row],[Summa]]+Table1[[#This Row],[I Muudatus]]+Table1[[#This Row],[II Muudatus]]</f>
        <v>600</v>
      </c>
    </row>
    <row r="960" spans="1:21" ht="14.25" hidden="1" customHeight="1" x14ac:dyDescent="0.25">
      <c r="A960" s="42" t="s">
        <v>1224</v>
      </c>
      <c r="B960" s="42">
        <v>1000</v>
      </c>
      <c r="C960" s="53">
        <v>5515</v>
      </c>
      <c r="D960" s="53" t="str">
        <f>LEFT(Table1[[#This Row],[Eelarvekonto]],2)</f>
        <v>55</v>
      </c>
      <c r="E960" s="42" t="str">
        <f>VLOOKUP(Table1[[#This Row],[Eelarvekonto]],Table5[[Konto]:[Konto nimetus]],2,FALSE)</f>
        <v>Inventari majandamiskulud</v>
      </c>
      <c r="F960" s="42" t="s">
        <v>139</v>
      </c>
      <c r="G960" s="42" t="s">
        <v>24</v>
      </c>
      <c r="H960" s="42"/>
      <c r="I960" s="42"/>
      <c r="J960" s="42" t="s">
        <v>335</v>
      </c>
      <c r="K960" s="42" t="s">
        <v>79</v>
      </c>
      <c r="L960" s="81" t="s">
        <v>334</v>
      </c>
      <c r="M960" s="82" t="str">
        <f>LEFT(Table1[[#This Row],[Tegevusala kood]],2)</f>
        <v>06</v>
      </c>
      <c r="N960" s="53" t="str">
        <f>VLOOKUP(Table1[[#This Row],[Tegevusala kood]],Table4[[Tegevusala kood]:[Tegevusala alanimetus]],2,FALSE)</f>
        <v>Laekvere teeninduspiirkond</v>
      </c>
      <c r="O960" s="42"/>
      <c r="P960" s="42"/>
      <c r="Q960" s="53" t="str">
        <f>VLOOKUP(Table1[[#This Row],[Eelarvekonto]],Table5[[Konto]:[Kontode alanimetus]],5,FALSE)</f>
        <v>Majandamiskulud</v>
      </c>
      <c r="R960" s="53" t="str">
        <f>VLOOKUP(Table1[[#This Row],[Tegevusala kood]],Table4[[Tegevusala kood]:[Tegevusala alanimetus]],4,FALSE)</f>
        <v>Muu elamu- ja kommunaalmajanduse tegevus</v>
      </c>
      <c r="S960" s="53"/>
      <c r="T960" s="53"/>
      <c r="U960" s="53">
        <f>Table1[[#This Row],[Summa]]+Table1[[#This Row],[I Muudatus]]+Table1[[#This Row],[II Muudatus]]</f>
        <v>1000</v>
      </c>
    </row>
    <row r="961" spans="1:21" ht="14.25" hidden="1" customHeight="1" x14ac:dyDescent="0.25">
      <c r="A961" s="42" t="s">
        <v>153</v>
      </c>
      <c r="B961" s="42">
        <v>1650</v>
      </c>
      <c r="C961" s="53">
        <v>5532</v>
      </c>
      <c r="D961" s="53" t="str">
        <f>LEFT(Table1[[#This Row],[Eelarvekonto]],2)</f>
        <v>55</v>
      </c>
      <c r="E961" s="42" t="str">
        <f>VLOOKUP(Table1[[#This Row],[Eelarvekonto]],Table5[[Konto]:[Konto nimetus]],2,FALSE)</f>
        <v>Eri- ja vormiriietus (va kaitseotstarbelised kulud)</v>
      </c>
      <c r="F961" s="42" t="s">
        <v>139</v>
      </c>
      <c r="G961" s="42" t="s">
        <v>24</v>
      </c>
      <c r="H961" s="42"/>
      <c r="I961" s="42"/>
      <c r="J961" s="42" t="s">
        <v>335</v>
      </c>
      <c r="K961" s="42" t="s">
        <v>79</v>
      </c>
      <c r="L961" s="81" t="s">
        <v>334</v>
      </c>
      <c r="M961" s="82" t="str">
        <f>LEFT(Table1[[#This Row],[Tegevusala kood]],2)</f>
        <v>06</v>
      </c>
      <c r="N961" s="53" t="str">
        <f>VLOOKUP(Table1[[#This Row],[Tegevusala kood]],Table4[[Tegevusala kood]:[Tegevusala alanimetus]],2,FALSE)</f>
        <v>Laekvere teeninduspiirkond</v>
      </c>
      <c r="O961" s="42"/>
      <c r="P961" s="42"/>
      <c r="Q961" s="53" t="str">
        <f>VLOOKUP(Table1[[#This Row],[Eelarvekonto]],Table5[[Konto]:[Kontode alanimetus]],5,FALSE)</f>
        <v>Majandamiskulud</v>
      </c>
      <c r="R961" s="53" t="str">
        <f>VLOOKUP(Table1[[#This Row],[Tegevusala kood]],Table4[[Tegevusala kood]:[Tegevusala alanimetus]],4,FALSE)</f>
        <v>Muu elamu- ja kommunaalmajanduse tegevus</v>
      </c>
      <c r="S961" s="53"/>
      <c r="T961" s="53"/>
      <c r="U961" s="53">
        <f>Table1[[#This Row],[Summa]]+Table1[[#This Row],[I Muudatus]]+Table1[[#This Row],[II Muudatus]]</f>
        <v>1650</v>
      </c>
    </row>
    <row r="962" spans="1:21" ht="14.25" hidden="1" customHeight="1" x14ac:dyDescent="0.25">
      <c r="A962" s="42" t="s">
        <v>140</v>
      </c>
      <c r="B962" s="42">
        <v>350</v>
      </c>
      <c r="C962" s="53">
        <v>5504</v>
      </c>
      <c r="D962" s="53" t="str">
        <f>LEFT(Table1[[#This Row],[Eelarvekonto]],2)</f>
        <v>55</v>
      </c>
      <c r="E962" s="42" t="str">
        <f>VLOOKUP(Table1[[#This Row],[Eelarvekonto]],Table5[[Konto]:[Konto nimetus]],2,FALSE)</f>
        <v>Koolituskulud (sh koolituslähetus)</v>
      </c>
      <c r="F962" s="42" t="s">
        <v>139</v>
      </c>
      <c r="G962" s="42" t="s">
        <v>24</v>
      </c>
      <c r="H962" s="42"/>
      <c r="I962" s="42"/>
      <c r="J962" s="42" t="s">
        <v>335</v>
      </c>
      <c r="K962" s="42" t="s">
        <v>79</v>
      </c>
      <c r="L962" s="81" t="s">
        <v>334</v>
      </c>
      <c r="M962" s="82" t="str">
        <f>LEFT(Table1[[#This Row],[Tegevusala kood]],2)</f>
        <v>06</v>
      </c>
      <c r="N962" s="53" t="str">
        <f>VLOOKUP(Table1[[#This Row],[Tegevusala kood]],Table4[[Tegevusala kood]:[Tegevusala alanimetus]],2,FALSE)</f>
        <v>Laekvere teeninduspiirkond</v>
      </c>
      <c r="O962" s="42"/>
      <c r="P962" s="42"/>
      <c r="Q962" s="53" t="str">
        <f>VLOOKUP(Table1[[#This Row],[Eelarvekonto]],Table5[[Konto]:[Kontode alanimetus]],5,FALSE)</f>
        <v>Majandamiskulud</v>
      </c>
      <c r="R962" s="53" t="str">
        <f>VLOOKUP(Table1[[#This Row],[Tegevusala kood]],Table4[[Tegevusala kood]:[Tegevusala alanimetus]],4,FALSE)</f>
        <v>Muu elamu- ja kommunaalmajanduse tegevus</v>
      </c>
      <c r="S962" s="53"/>
      <c r="T962" s="53"/>
      <c r="U962" s="53">
        <f>Table1[[#This Row],[Summa]]+Table1[[#This Row],[I Muudatus]]+Table1[[#This Row],[II Muudatus]]</f>
        <v>350</v>
      </c>
    </row>
    <row r="963" spans="1:21" ht="14.25" hidden="1" customHeight="1" x14ac:dyDescent="0.25">
      <c r="A963" s="42" t="s">
        <v>1225</v>
      </c>
      <c r="B963" s="42">
        <v>620</v>
      </c>
      <c r="C963" s="53">
        <v>5500</v>
      </c>
      <c r="D963" s="53" t="str">
        <f>LEFT(Table1[[#This Row],[Eelarvekonto]],2)</f>
        <v>55</v>
      </c>
      <c r="E963" s="42" t="str">
        <f>VLOOKUP(Table1[[#This Row],[Eelarvekonto]],Table5[[Konto]:[Konto nimetus]],2,FALSE)</f>
        <v>Administreerimiskulud</v>
      </c>
      <c r="F963" s="42" t="s">
        <v>139</v>
      </c>
      <c r="G963" s="42" t="s">
        <v>24</v>
      </c>
      <c r="H963" s="42"/>
      <c r="I963" s="42"/>
      <c r="J963" s="42" t="s">
        <v>335</v>
      </c>
      <c r="K963" s="42" t="s">
        <v>79</v>
      </c>
      <c r="L963" s="81" t="s">
        <v>334</v>
      </c>
      <c r="M963" s="82" t="str">
        <f>LEFT(Table1[[#This Row],[Tegevusala kood]],2)</f>
        <v>06</v>
      </c>
      <c r="N963" s="53" t="str">
        <f>VLOOKUP(Table1[[#This Row],[Tegevusala kood]],Table4[[Tegevusala kood]:[Tegevusala alanimetus]],2,FALSE)</f>
        <v>Laekvere teeninduspiirkond</v>
      </c>
      <c r="O963" s="42"/>
      <c r="P963" s="42"/>
      <c r="Q963" s="53" t="str">
        <f>VLOOKUP(Table1[[#This Row],[Eelarvekonto]],Table5[[Konto]:[Kontode alanimetus]],5,FALSE)</f>
        <v>Majandamiskulud</v>
      </c>
      <c r="R963" s="53" t="str">
        <f>VLOOKUP(Table1[[#This Row],[Tegevusala kood]],Table4[[Tegevusala kood]:[Tegevusala alanimetus]],4,FALSE)</f>
        <v>Muu elamu- ja kommunaalmajanduse tegevus</v>
      </c>
      <c r="S963" s="53"/>
      <c r="T963" s="53"/>
      <c r="U963" s="53">
        <f>Table1[[#This Row],[Summa]]+Table1[[#This Row],[I Muudatus]]+Table1[[#This Row],[II Muudatus]]</f>
        <v>620</v>
      </c>
    </row>
    <row r="964" spans="1:21" ht="14.25" hidden="1" customHeight="1" x14ac:dyDescent="0.25">
      <c r="A964" s="42" t="s">
        <v>1226</v>
      </c>
      <c r="B964" s="42">
        <v>3000</v>
      </c>
      <c r="C964" s="53">
        <v>5005</v>
      </c>
      <c r="D964" s="53" t="str">
        <f>LEFT(Table1[[#This Row],[Eelarvekonto]],2)</f>
        <v>50</v>
      </c>
      <c r="E964" s="42" t="str">
        <f>VLOOKUP(Table1[[#This Row],[Eelarvekonto]],Table5[[Konto]:[Konto nimetus]],2,FALSE)</f>
        <v>Töötasud võlaõiguslike lepingute alusel</v>
      </c>
      <c r="F964" s="42" t="s">
        <v>139</v>
      </c>
      <c r="G964" s="42" t="s">
        <v>24</v>
      </c>
      <c r="H964" s="42"/>
      <c r="I964" s="42"/>
      <c r="J964" s="42" t="s">
        <v>335</v>
      </c>
      <c r="K964" s="42" t="s">
        <v>79</v>
      </c>
      <c r="L964" s="81" t="s">
        <v>334</v>
      </c>
      <c r="M964" s="82" t="str">
        <f>LEFT(Table1[[#This Row],[Tegevusala kood]],2)</f>
        <v>06</v>
      </c>
      <c r="N964" s="53" t="str">
        <f>VLOOKUP(Table1[[#This Row],[Tegevusala kood]],Table4[[Tegevusala kood]:[Tegevusala alanimetus]],2,FALSE)</f>
        <v>Laekvere teeninduspiirkond</v>
      </c>
      <c r="O964" s="42"/>
      <c r="P964" s="42"/>
      <c r="Q964" s="53" t="str">
        <f>VLOOKUP(Table1[[#This Row],[Eelarvekonto]],Table5[[Konto]:[Kontode alanimetus]],5,FALSE)</f>
        <v>Tööjõukulud</v>
      </c>
      <c r="R964" s="53" t="str">
        <f>VLOOKUP(Table1[[#This Row],[Tegevusala kood]],Table4[[Tegevusala kood]:[Tegevusala alanimetus]],4,FALSE)</f>
        <v>Muu elamu- ja kommunaalmajanduse tegevus</v>
      </c>
      <c r="S964" s="53"/>
      <c r="T964" s="53"/>
      <c r="U964" s="53">
        <f>Table1[[#This Row],[Summa]]+Table1[[#This Row],[I Muudatus]]+Table1[[#This Row],[II Muudatus]]</f>
        <v>3000</v>
      </c>
    </row>
    <row r="965" spans="1:21" ht="14.25" hidden="1" customHeight="1" x14ac:dyDescent="0.25">
      <c r="A965" s="42" t="s">
        <v>156</v>
      </c>
      <c r="B965" s="42">
        <v>2500</v>
      </c>
      <c r="C965" s="53">
        <v>5005</v>
      </c>
      <c r="D965" s="53" t="str">
        <f>LEFT(Table1[[#This Row],[Eelarvekonto]],2)</f>
        <v>50</v>
      </c>
      <c r="E965" s="42" t="str">
        <f>VLOOKUP(Table1[[#This Row],[Eelarvekonto]],Table5[[Konto]:[Konto nimetus]],2,FALSE)</f>
        <v>Töötasud võlaõiguslike lepingute alusel</v>
      </c>
      <c r="F965" s="42" t="s">
        <v>139</v>
      </c>
      <c r="G965" s="42" t="s">
        <v>24</v>
      </c>
      <c r="H965" s="42"/>
      <c r="I965" s="42"/>
      <c r="J965" s="42" t="s">
        <v>335</v>
      </c>
      <c r="K965" s="42" t="s">
        <v>79</v>
      </c>
      <c r="L965" s="81" t="s">
        <v>334</v>
      </c>
      <c r="M965" s="82" t="str">
        <f>LEFT(Table1[[#This Row],[Tegevusala kood]],2)</f>
        <v>06</v>
      </c>
      <c r="N965" s="53" t="str">
        <f>VLOOKUP(Table1[[#This Row],[Tegevusala kood]],Table4[[Tegevusala kood]:[Tegevusala alanimetus]],2,FALSE)</f>
        <v>Laekvere teeninduspiirkond</v>
      </c>
      <c r="O965" s="42"/>
      <c r="P965" s="42"/>
      <c r="Q965" s="53" t="str">
        <f>VLOOKUP(Table1[[#This Row],[Eelarvekonto]],Table5[[Konto]:[Kontode alanimetus]],5,FALSE)</f>
        <v>Tööjõukulud</v>
      </c>
      <c r="R965" s="53" t="str">
        <f>VLOOKUP(Table1[[#This Row],[Tegevusala kood]],Table4[[Tegevusala kood]:[Tegevusala alanimetus]],4,FALSE)</f>
        <v>Muu elamu- ja kommunaalmajanduse tegevus</v>
      </c>
      <c r="S965" s="53"/>
      <c r="T965" s="53"/>
      <c r="U965" s="53">
        <f>Table1[[#This Row],[Summa]]+Table1[[#This Row],[I Muudatus]]+Table1[[#This Row],[II Muudatus]]</f>
        <v>2500</v>
      </c>
    </row>
    <row r="966" spans="1:21" ht="14.25" hidden="1" customHeight="1" x14ac:dyDescent="0.25">
      <c r="A966" s="42" t="s">
        <v>1227</v>
      </c>
      <c r="B966" s="42">
        <v>100</v>
      </c>
      <c r="C966" s="53">
        <v>5511</v>
      </c>
      <c r="D966" s="53" t="str">
        <f>LEFT(Table1[[#This Row],[Eelarvekonto]],2)</f>
        <v>55</v>
      </c>
      <c r="E966" s="42" t="str">
        <f>VLOOKUP(Table1[[#This Row],[Eelarvekonto]],Table5[[Konto]:[Konto nimetus]],2,FALSE)</f>
        <v>Kinnistute, hoonete ja ruumide majandamiskulud</v>
      </c>
      <c r="F966" s="42" t="s">
        <v>139</v>
      </c>
      <c r="G966" s="42" t="s">
        <v>24</v>
      </c>
      <c r="H966" s="42"/>
      <c r="I966" s="42"/>
      <c r="J966" s="42" t="s">
        <v>365</v>
      </c>
      <c r="K966" s="42" t="s">
        <v>364</v>
      </c>
      <c r="L966" s="81" t="s">
        <v>363</v>
      </c>
      <c r="M966" s="82" t="str">
        <f>LEFT(Table1[[#This Row],[Tegevusala kood]],2)</f>
        <v>10</v>
      </c>
      <c r="N966" s="53" t="str">
        <f>VLOOKUP(Table1[[#This Row],[Tegevusala kood]],Table4[[Tegevusala kood]:[Tegevusala alanimetus]],2,FALSE)</f>
        <v>Muu sotsiaalne kaitse, sh sotsiaalse kaitse haldus</v>
      </c>
      <c r="O966" s="42"/>
      <c r="P966" s="42"/>
      <c r="Q966" s="53" t="str">
        <f>VLOOKUP(Table1[[#This Row],[Eelarvekonto]],Table5[[Konto]:[Kontode alanimetus]],5,FALSE)</f>
        <v>Majandamiskulud</v>
      </c>
      <c r="R966" s="53" t="str">
        <f>VLOOKUP(Table1[[#This Row],[Tegevusala kood]],Table4[[Tegevusala kood]:[Tegevusala alanimetus]],4,FALSE)</f>
        <v>Muu sotsiaalne kaitse, sh sotsiaalse kaitse haldus</v>
      </c>
      <c r="S966" s="53"/>
      <c r="T966" s="53"/>
      <c r="U966" s="53">
        <f>Table1[[#This Row],[Summa]]+Table1[[#This Row],[I Muudatus]]+Table1[[#This Row],[II Muudatus]]</f>
        <v>100</v>
      </c>
    </row>
    <row r="967" spans="1:21" ht="14.25" hidden="1" customHeight="1" x14ac:dyDescent="0.25">
      <c r="A967" s="42" t="s">
        <v>336</v>
      </c>
      <c r="B967" s="42">
        <v>6000</v>
      </c>
      <c r="C967" s="53">
        <v>5513</v>
      </c>
      <c r="D967" s="53" t="str">
        <f>LEFT(Table1[[#This Row],[Eelarvekonto]],2)</f>
        <v>55</v>
      </c>
      <c r="E967" s="42" t="str">
        <f>VLOOKUP(Table1[[#This Row],[Eelarvekonto]],Table5[[Konto]:[Konto nimetus]],2,FALSE)</f>
        <v>Sõidukite ülalpidamise kulud</v>
      </c>
      <c r="F967" s="42" t="s">
        <v>139</v>
      </c>
      <c r="G967" s="42" t="s">
        <v>24</v>
      </c>
      <c r="H967" s="42"/>
      <c r="I967" s="42"/>
      <c r="J967" s="42" t="s">
        <v>365</v>
      </c>
      <c r="K967" s="42" t="s">
        <v>364</v>
      </c>
      <c r="L967" s="81" t="s">
        <v>363</v>
      </c>
      <c r="M967" s="82" t="str">
        <f>LEFT(Table1[[#This Row],[Tegevusala kood]],2)</f>
        <v>10</v>
      </c>
      <c r="N967" s="53" t="str">
        <f>VLOOKUP(Table1[[#This Row],[Tegevusala kood]],Table4[[Tegevusala kood]:[Tegevusala alanimetus]],2,FALSE)</f>
        <v>Muu sotsiaalne kaitse, sh sotsiaalse kaitse haldus</v>
      </c>
      <c r="O967" s="42"/>
      <c r="P967" s="42"/>
      <c r="Q967" s="53" t="str">
        <f>VLOOKUP(Table1[[#This Row],[Eelarvekonto]],Table5[[Konto]:[Kontode alanimetus]],5,FALSE)</f>
        <v>Majandamiskulud</v>
      </c>
      <c r="R967" s="53" t="str">
        <f>VLOOKUP(Table1[[#This Row],[Tegevusala kood]],Table4[[Tegevusala kood]:[Tegevusala alanimetus]],4,FALSE)</f>
        <v>Muu sotsiaalne kaitse, sh sotsiaalse kaitse haldus</v>
      </c>
      <c r="S967" s="53"/>
      <c r="T967" s="53"/>
      <c r="U967" s="53">
        <f>Table1[[#This Row],[Summa]]+Table1[[#This Row],[I Muudatus]]+Table1[[#This Row],[II Muudatus]]</f>
        <v>6000</v>
      </c>
    </row>
    <row r="968" spans="1:21" ht="14.25" hidden="1" customHeight="1" x14ac:dyDescent="0.25">
      <c r="A968" s="42" t="s">
        <v>1228</v>
      </c>
      <c r="B968" s="42">
        <v>300</v>
      </c>
      <c r="C968" s="53">
        <v>5514</v>
      </c>
      <c r="D968" s="53" t="str">
        <f>LEFT(Table1[[#This Row],[Eelarvekonto]],2)</f>
        <v>55</v>
      </c>
      <c r="E968" s="42" t="str">
        <f>VLOOKUP(Table1[[#This Row],[Eelarvekonto]],Table5[[Konto]:[Konto nimetus]],2,FALSE)</f>
        <v>Info- ja kommunikatsioonitehnoloogia kulud</v>
      </c>
      <c r="F968" s="42" t="s">
        <v>139</v>
      </c>
      <c r="G968" s="42" t="s">
        <v>24</v>
      </c>
      <c r="H968" s="42"/>
      <c r="I968" s="42"/>
      <c r="J968" s="42" t="s">
        <v>365</v>
      </c>
      <c r="K968" s="42" t="s">
        <v>364</v>
      </c>
      <c r="L968" s="81" t="s">
        <v>363</v>
      </c>
      <c r="M968" s="82" t="str">
        <f>LEFT(Table1[[#This Row],[Tegevusala kood]],2)</f>
        <v>10</v>
      </c>
      <c r="N968" s="53" t="str">
        <f>VLOOKUP(Table1[[#This Row],[Tegevusala kood]],Table4[[Tegevusala kood]:[Tegevusala alanimetus]],2,FALSE)</f>
        <v>Muu sotsiaalne kaitse, sh sotsiaalse kaitse haldus</v>
      </c>
      <c r="O968" s="42"/>
      <c r="P968" s="42"/>
      <c r="Q968" s="53" t="str">
        <f>VLOOKUP(Table1[[#This Row],[Eelarvekonto]],Table5[[Konto]:[Kontode alanimetus]],5,FALSE)</f>
        <v>Majandamiskulud</v>
      </c>
      <c r="R968" s="53" t="str">
        <f>VLOOKUP(Table1[[#This Row],[Tegevusala kood]],Table4[[Tegevusala kood]:[Tegevusala alanimetus]],4,FALSE)</f>
        <v>Muu sotsiaalne kaitse, sh sotsiaalse kaitse haldus</v>
      </c>
      <c r="S968" s="53"/>
      <c r="T968" s="53"/>
      <c r="U968" s="53">
        <f>Table1[[#This Row],[Summa]]+Table1[[#This Row],[I Muudatus]]+Table1[[#This Row],[II Muudatus]]</f>
        <v>300</v>
      </c>
    </row>
    <row r="969" spans="1:21" ht="14.25" hidden="1" customHeight="1" x14ac:dyDescent="0.25">
      <c r="A969" s="42" t="s">
        <v>1229</v>
      </c>
      <c r="B969" s="42">
        <v>900</v>
      </c>
      <c r="C969" s="53">
        <v>5515</v>
      </c>
      <c r="D969" s="53" t="str">
        <f>LEFT(Table1[[#This Row],[Eelarvekonto]],2)</f>
        <v>55</v>
      </c>
      <c r="E969" s="42" t="str">
        <f>VLOOKUP(Table1[[#This Row],[Eelarvekonto]],Table5[[Konto]:[Konto nimetus]],2,FALSE)</f>
        <v>Inventari majandamiskulud</v>
      </c>
      <c r="F969" s="42" t="s">
        <v>139</v>
      </c>
      <c r="G969" s="42" t="s">
        <v>24</v>
      </c>
      <c r="H969" s="42"/>
      <c r="I969" s="42"/>
      <c r="J969" s="42" t="s">
        <v>365</v>
      </c>
      <c r="K969" s="42" t="s">
        <v>364</v>
      </c>
      <c r="L969" s="81" t="s">
        <v>363</v>
      </c>
      <c r="M969" s="82" t="str">
        <f>LEFT(Table1[[#This Row],[Tegevusala kood]],2)</f>
        <v>10</v>
      </c>
      <c r="N969" s="53" t="str">
        <f>VLOOKUP(Table1[[#This Row],[Tegevusala kood]],Table4[[Tegevusala kood]:[Tegevusala alanimetus]],2,FALSE)</f>
        <v>Muu sotsiaalne kaitse, sh sotsiaalse kaitse haldus</v>
      </c>
      <c r="O969" s="42"/>
      <c r="P969" s="42"/>
      <c r="Q969" s="53" t="str">
        <f>VLOOKUP(Table1[[#This Row],[Eelarvekonto]],Table5[[Konto]:[Kontode alanimetus]],5,FALSE)</f>
        <v>Majandamiskulud</v>
      </c>
      <c r="R969" s="53" t="str">
        <f>VLOOKUP(Table1[[#This Row],[Tegevusala kood]],Table4[[Tegevusala kood]:[Tegevusala alanimetus]],4,FALSE)</f>
        <v>Muu sotsiaalne kaitse, sh sotsiaalse kaitse haldus</v>
      </c>
      <c r="S969" s="53"/>
      <c r="T969" s="53"/>
      <c r="U969" s="53">
        <f>Table1[[#This Row],[Summa]]+Table1[[#This Row],[I Muudatus]]+Table1[[#This Row],[II Muudatus]]</f>
        <v>900</v>
      </c>
    </row>
    <row r="970" spans="1:21" ht="14.25" hidden="1" customHeight="1" x14ac:dyDescent="0.25">
      <c r="A970" s="42" t="s">
        <v>1230</v>
      </c>
      <c r="B970" s="42">
        <v>100</v>
      </c>
      <c r="C970" s="53">
        <v>5525</v>
      </c>
      <c r="D970" s="53" t="str">
        <f>LEFT(Table1[[#This Row],[Eelarvekonto]],2)</f>
        <v>55</v>
      </c>
      <c r="E970" s="42" t="str">
        <f>VLOOKUP(Table1[[#This Row],[Eelarvekonto]],Table5[[Konto]:[Konto nimetus]],2,FALSE)</f>
        <v>Kommunikatsiooni-, kultuuri- ja vaba aja sisustamise kulud</v>
      </c>
      <c r="F970" s="42" t="s">
        <v>139</v>
      </c>
      <c r="G970" s="42" t="s">
        <v>24</v>
      </c>
      <c r="H970" s="42"/>
      <c r="I970" s="42"/>
      <c r="J970" s="42" t="s">
        <v>280</v>
      </c>
      <c r="K970" s="42" t="s">
        <v>109</v>
      </c>
      <c r="L970" s="81" t="s">
        <v>279</v>
      </c>
      <c r="M970" s="82" t="str">
        <f>LEFT(Table1[[#This Row],[Tegevusala kood]],2)</f>
        <v>09</v>
      </c>
      <c r="N970" s="53" t="str">
        <f>VLOOKUP(Table1[[#This Row],[Tegevusala kood]],Table4[[Tegevusala kood]:[Tegevusala alanimetus]],2,FALSE)</f>
        <v>Laekvere Kool</v>
      </c>
      <c r="O970" s="42"/>
      <c r="P970" s="42"/>
      <c r="Q970" s="53" t="str">
        <f>VLOOKUP(Table1[[#This Row],[Eelarvekonto]],Table5[[Konto]:[Kontode alanimetus]],5,FALSE)</f>
        <v>Majandamiskulud</v>
      </c>
      <c r="R970" s="53" t="str">
        <f>VLOOKUP(Table1[[#This Row],[Tegevusala kood]],Table4[[Tegevusala kood]:[Tegevusala alanimetus]],4,FALSE)</f>
        <v>Põhihariduse otsekulud</v>
      </c>
      <c r="S970" s="53"/>
      <c r="T970" s="53"/>
      <c r="U970" s="53">
        <f>Table1[[#This Row],[Summa]]+Table1[[#This Row],[I Muudatus]]+Table1[[#This Row],[II Muudatus]]</f>
        <v>100</v>
      </c>
    </row>
    <row r="971" spans="1:21" ht="14.25" hidden="1" customHeight="1" x14ac:dyDescent="0.25">
      <c r="A971" s="42" t="s">
        <v>1231</v>
      </c>
      <c r="B971" s="42">
        <v>150</v>
      </c>
      <c r="C971" s="53">
        <v>5525</v>
      </c>
      <c r="D971" s="53" t="str">
        <f>LEFT(Table1[[#This Row],[Eelarvekonto]],2)</f>
        <v>55</v>
      </c>
      <c r="E971" s="42" t="str">
        <f>VLOOKUP(Table1[[#This Row],[Eelarvekonto]],Table5[[Konto]:[Konto nimetus]],2,FALSE)</f>
        <v>Kommunikatsiooni-, kultuuri- ja vaba aja sisustamise kulud</v>
      </c>
      <c r="F971" s="42" t="s">
        <v>139</v>
      </c>
      <c r="G971" s="42" t="s">
        <v>24</v>
      </c>
      <c r="H971" s="42"/>
      <c r="I971" s="42"/>
      <c r="J971" s="42" t="s">
        <v>280</v>
      </c>
      <c r="K971" s="42" t="s">
        <v>109</v>
      </c>
      <c r="L971" s="81" t="s">
        <v>279</v>
      </c>
      <c r="M971" s="82" t="str">
        <f>LEFT(Table1[[#This Row],[Tegevusala kood]],2)</f>
        <v>09</v>
      </c>
      <c r="N971" s="53" t="str">
        <f>VLOOKUP(Table1[[#This Row],[Tegevusala kood]],Table4[[Tegevusala kood]:[Tegevusala alanimetus]],2,FALSE)</f>
        <v>Laekvere Kool</v>
      </c>
      <c r="O971" s="42"/>
      <c r="P971" s="42"/>
      <c r="Q971" s="53" t="str">
        <f>VLOOKUP(Table1[[#This Row],[Eelarvekonto]],Table5[[Konto]:[Kontode alanimetus]],5,FALSE)</f>
        <v>Majandamiskulud</v>
      </c>
      <c r="R971" s="53" t="str">
        <f>VLOOKUP(Table1[[#This Row],[Tegevusala kood]],Table4[[Tegevusala kood]:[Tegevusala alanimetus]],4,FALSE)</f>
        <v>Põhihariduse otsekulud</v>
      </c>
      <c r="S971" s="53"/>
      <c r="T971" s="53"/>
      <c r="U971" s="53">
        <f>Table1[[#This Row],[Summa]]+Table1[[#This Row],[I Muudatus]]+Table1[[#This Row],[II Muudatus]]</f>
        <v>150</v>
      </c>
    </row>
    <row r="972" spans="1:21" ht="14.25" hidden="1" customHeight="1" x14ac:dyDescent="0.25">
      <c r="A972" s="42" t="s">
        <v>1232</v>
      </c>
      <c r="B972" s="42">
        <v>3288</v>
      </c>
      <c r="C972" s="53">
        <v>5524</v>
      </c>
      <c r="D972" s="53" t="str">
        <f>LEFT(Table1[[#This Row],[Eelarvekonto]],2)</f>
        <v>55</v>
      </c>
      <c r="E972" s="42" t="str">
        <f>VLOOKUP(Table1[[#This Row],[Eelarvekonto]],Table5[[Konto]:[Konto nimetus]],2,FALSE)</f>
        <v>Õppevahendite ja koolituse kulud</v>
      </c>
      <c r="F972" s="42" t="s">
        <v>139</v>
      </c>
      <c r="G972" s="42" t="s">
        <v>24</v>
      </c>
      <c r="H972" s="42"/>
      <c r="I972" s="42"/>
      <c r="J972" s="42" t="s">
        <v>280</v>
      </c>
      <c r="K972" s="42" t="s">
        <v>109</v>
      </c>
      <c r="L972" s="81" t="s">
        <v>279</v>
      </c>
      <c r="M972" s="82" t="str">
        <f>LEFT(Table1[[#This Row],[Tegevusala kood]],2)</f>
        <v>09</v>
      </c>
      <c r="N972" s="53" t="str">
        <f>VLOOKUP(Table1[[#This Row],[Tegevusala kood]],Table4[[Tegevusala kood]:[Tegevusala alanimetus]],2,FALSE)</f>
        <v>Laekvere Kool</v>
      </c>
      <c r="O972" s="42"/>
      <c r="P972" s="42"/>
      <c r="Q972" s="53" t="str">
        <f>VLOOKUP(Table1[[#This Row],[Eelarvekonto]],Table5[[Konto]:[Kontode alanimetus]],5,FALSE)</f>
        <v>Majandamiskulud</v>
      </c>
      <c r="R972" s="53" t="str">
        <f>VLOOKUP(Table1[[#This Row],[Tegevusala kood]],Table4[[Tegevusala kood]:[Tegevusala alanimetus]],4,FALSE)</f>
        <v>Põhihariduse otsekulud</v>
      </c>
      <c r="S972" s="53"/>
      <c r="T972" s="53"/>
      <c r="U972" s="53">
        <f>Table1[[#This Row],[Summa]]+Table1[[#This Row],[I Muudatus]]+Table1[[#This Row],[II Muudatus]]</f>
        <v>3288</v>
      </c>
    </row>
    <row r="973" spans="1:21" ht="14.25" hidden="1" customHeight="1" x14ac:dyDescent="0.25">
      <c r="A973" s="42" t="s">
        <v>1233</v>
      </c>
      <c r="B973" s="42">
        <v>100</v>
      </c>
      <c r="C973" s="53">
        <v>5524</v>
      </c>
      <c r="D973" s="53" t="str">
        <f>LEFT(Table1[[#This Row],[Eelarvekonto]],2)</f>
        <v>55</v>
      </c>
      <c r="E973" s="42" t="str">
        <f>VLOOKUP(Table1[[#This Row],[Eelarvekonto]],Table5[[Konto]:[Konto nimetus]],2,FALSE)</f>
        <v>Õppevahendite ja koolituse kulud</v>
      </c>
      <c r="F973" s="42" t="s">
        <v>139</v>
      </c>
      <c r="G973" s="42" t="s">
        <v>24</v>
      </c>
      <c r="H973" s="42"/>
      <c r="I973" s="42"/>
      <c r="J973" s="42" t="s">
        <v>280</v>
      </c>
      <c r="K973" s="42" t="s">
        <v>109</v>
      </c>
      <c r="L973" s="81" t="s">
        <v>279</v>
      </c>
      <c r="M973" s="82" t="str">
        <f>LEFT(Table1[[#This Row],[Tegevusala kood]],2)</f>
        <v>09</v>
      </c>
      <c r="N973" s="53" t="str">
        <f>VLOOKUP(Table1[[#This Row],[Tegevusala kood]],Table4[[Tegevusala kood]:[Tegevusala alanimetus]],2,FALSE)</f>
        <v>Laekvere Kool</v>
      </c>
      <c r="O973" s="42"/>
      <c r="P973" s="42"/>
      <c r="Q973" s="53" t="str">
        <f>VLOOKUP(Table1[[#This Row],[Eelarvekonto]],Table5[[Konto]:[Kontode alanimetus]],5,FALSE)</f>
        <v>Majandamiskulud</v>
      </c>
      <c r="R973" s="53" t="str">
        <f>VLOOKUP(Table1[[#This Row],[Tegevusala kood]],Table4[[Tegevusala kood]:[Tegevusala alanimetus]],4,FALSE)</f>
        <v>Põhihariduse otsekulud</v>
      </c>
      <c r="S973" s="53"/>
      <c r="T973" s="53"/>
      <c r="U973" s="53">
        <f>Table1[[#This Row],[Summa]]+Table1[[#This Row],[I Muudatus]]+Table1[[#This Row],[II Muudatus]]</f>
        <v>100</v>
      </c>
    </row>
    <row r="974" spans="1:21" ht="14.25" hidden="1" customHeight="1" x14ac:dyDescent="0.25">
      <c r="A974" s="42" t="s">
        <v>1234</v>
      </c>
      <c r="B974" s="42">
        <v>500</v>
      </c>
      <c r="C974" s="53">
        <v>5524</v>
      </c>
      <c r="D974" s="53" t="str">
        <f>LEFT(Table1[[#This Row],[Eelarvekonto]],2)</f>
        <v>55</v>
      </c>
      <c r="E974" s="42" t="str">
        <f>VLOOKUP(Table1[[#This Row],[Eelarvekonto]],Table5[[Konto]:[Konto nimetus]],2,FALSE)</f>
        <v>Õppevahendite ja koolituse kulud</v>
      </c>
      <c r="F974" s="42" t="s">
        <v>139</v>
      </c>
      <c r="G974" s="42" t="s">
        <v>24</v>
      </c>
      <c r="H974" s="42"/>
      <c r="I974" s="42"/>
      <c r="J974" s="42" t="s">
        <v>280</v>
      </c>
      <c r="K974" s="42" t="s">
        <v>109</v>
      </c>
      <c r="L974" s="81" t="s">
        <v>279</v>
      </c>
      <c r="M974" s="82" t="str">
        <f>LEFT(Table1[[#This Row],[Tegevusala kood]],2)</f>
        <v>09</v>
      </c>
      <c r="N974" s="53" t="str">
        <f>VLOOKUP(Table1[[#This Row],[Tegevusala kood]],Table4[[Tegevusala kood]:[Tegevusala alanimetus]],2,FALSE)</f>
        <v>Laekvere Kool</v>
      </c>
      <c r="O974" s="42"/>
      <c r="P974" s="42"/>
      <c r="Q974" s="53" t="str">
        <f>VLOOKUP(Table1[[#This Row],[Eelarvekonto]],Table5[[Konto]:[Kontode alanimetus]],5,FALSE)</f>
        <v>Majandamiskulud</v>
      </c>
      <c r="R974" s="53" t="str">
        <f>VLOOKUP(Table1[[#This Row],[Tegevusala kood]],Table4[[Tegevusala kood]:[Tegevusala alanimetus]],4,FALSE)</f>
        <v>Põhihariduse otsekulud</v>
      </c>
      <c r="S974" s="53"/>
      <c r="T974" s="53"/>
      <c r="U974" s="53">
        <f>Table1[[#This Row],[Summa]]+Table1[[#This Row],[I Muudatus]]+Table1[[#This Row],[II Muudatus]]</f>
        <v>500</v>
      </c>
    </row>
    <row r="975" spans="1:21" ht="14.25" hidden="1" customHeight="1" x14ac:dyDescent="0.25">
      <c r="A975" s="42" t="s">
        <v>1235</v>
      </c>
      <c r="B975" s="42">
        <v>300</v>
      </c>
      <c r="C975" s="53">
        <v>5522</v>
      </c>
      <c r="D975" s="53" t="str">
        <f>LEFT(Table1[[#This Row],[Eelarvekonto]],2)</f>
        <v>55</v>
      </c>
      <c r="E975" s="42" t="str">
        <f>VLOOKUP(Table1[[#This Row],[Eelarvekonto]],Table5[[Konto]:[Konto nimetus]],2,FALSE)</f>
        <v>Meditsiinikulud ja hügieenikulud</v>
      </c>
      <c r="F975" s="42" t="s">
        <v>139</v>
      </c>
      <c r="G975" s="42" t="s">
        <v>24</v>
      </c>
      <c r="H975" s="42"/>
      <c r="I975" s="42"/>
      <c r="J975" s="42" t="s">
        <v>280</v>
      </c>
      <c r="K975" s="42" t="s">
        <v>109</v>
      </c>
      <c r="L975" s="81" t="s">
        <v>279</v>
      </c>
      <c r="M975" s="82" t="str">
        <f>LEFT(Table1[[#This Row],[Tegevusala kood]],2)</f>
        <v>09</v>
      </c>
      <c r="N975" s="53" t="str">
        <f>VLOOKUP(Table1[[#This Row],[Tegevusala kood]],Table4[[Tegevusala kood]:[Tegevusala alanimetus]],2,FALSE)</f>
        <v>Laekvere Kool</v>
      </c>
      <c r="O975" s="42"/>
      <c r="P975" s="42"/>
      <c r="Q975" s="53" t="str">
        <f>VLOOKUP(Table1[[#This Row],[Eelarvekonto]],Table5[[Konto]:[Kontode alanimetus]],5,FALSE)</f>
        <v>Majandamiskulud</v>
      </c>
      <c r="R975" s="53" t="str">
        <f>VLOOKUP(Table1[[#This Row],[Tegevusala kood]],Table4[[Tegevusala kood]:[Tegevusala alanimetus]],4,FALSE)</f>
        <v>Põhihariduse otsekulud</v>
      </c>
      <c r="S975" s="53"/>
      <c r="T975" s="53"/>
      <c r="U975" s="53">
        <f>Table1[[#This Row],[Summa]]+Table1[[#This Row],[I Muudatus]]+Table1[[#This Row],[II Muudatus]]</f>
        <v>300</v>
      </c>
    </row>
    <row r="976" spans="1:21" ht="14.25" hidden="1" customHeight="1" x14ac:dyDescent="0.25">
      <c r="A976" s="42" t="s">
        <v>189</v>
      </c>
      <c r="B976" s="42">
        <v>500</v>
      </c>
      <c r="C976" s="53">
        <v>5522</v>
      </c>
      <c r="D976" s="53" t="str">
        <f>LEFT(Table1[[#This Row],[Eelarvekonto]],2)</f>
        <v>55</v>
      </c>
      <c r="E976" s="42" t="str">
        <f>VLOOKUP(Table1[[#This Row],[Eelarvekonto]],Table5[[Konto]:[Konto nimetus]],2,FALSE)</f>
        <v>Meditsiinikulud ja hügieenikulud</v>
      </c>
      <c r="F976" s="42" t="s">
        <v>139</v>
      </c>
      <c r="G976" s="42" t="s">
        <v>24</v>
      </c>
      <c r="H976" s="42"/>
      <c r="I976" s="42"/>
      <c r="J976" s="42" t="s">
        <v>280</v>
      </c>
      <c r="K976" s="42" t="s">
        <v>109</v>
      </c>
      <c r="L976" s="81" t="s">
        <v>279</v>
      </c>
      <c r="M976" s="82" t="str">
        <f>LEFT(Table1[[#This Row],[Tegevusala kood]],2)</f>
        <v>09</v>
      </c>
      <c r="N976" s="53" t="str">
        <f>VLOOKUP(Table1[[#This Row],[Tegevusala kood]],Table4[[Tegevusala kood]:[Tegevusala alanimetus]],2,FALSE)</f>
        <v>Laekvere Kool</v>
      </c>
      <c r="O976" s="42"/>
      <c r="P976" s="42"/>
      <c r="Q976" s="53" t="str">
        <f>VLOOKUP(Table1[[#This Row],[Eelarvekonto]],Table5[[Konto]:[Kontode alanimetus]],5,FALSE)</f>
        <v>Majandamiskulud</v>
      </c>
      <c r="R976" s="53" t="str">
        <f>VLOOKUP(Table1[[#This Row],[Tegevusala kood]],Table4[[Tegevusala kood]:[Tegevusala alanimetus]],4,FALSE)</f>
        <v>Põhihariduse otsekulud</v>
      </c>
      <c r="S976" s="53"/>
      <c r="T976" s="53"/>
      <c r="U976" s="53">
        <f>Table1[[#This Row],[Summa]]+Table1[[#This Row],[I Muudatus]]+Table1[[#This Row],[II Muudatus]]</f>
        <v>500</v>
      </c>
    </row>
    <row r="977" spans="1:21" ht="14.25" hidden="1" customHeight="1" x14ac:dyDescent="0.25">
      <c r="A977" s="42" t="s">
        <v>1236</v>
      </c>
      <c r="B977" s="42">
        <v>600</v>
      </c>
      <c r="C977" s="53">
        <v>5522</v>
      </c>
      <c r="D977" s="53" t="str">
        <f>LEFT(Table1[[#This Row],[Eelarvekonto]],2)</f>
        <v>55</v>
      </c>
      <c r="E977" s="42" t="str">
        <f>VLOOKUP(Table1[[#This Row],[Eelarvekonto]],Table5[[Konto]:[Konto nimetus]],2,FALSE)</f>
        <v>Meditsiinikulud ja hügieenikulud</v>
      </c>
      <c r="F977" s="42" t="s">
        <v>139</v>
      </c>
      <c r="G977" s="42" t="s">
        <v>24</v>
      </c>
      <c r="H977" s="42"/>
      <c r="I977" s="42"/>
      <c r="J977" s="42" t="s">
        <v>280</v>
      </c>
      <c r="K977" s="42" t="s">
        <v>109</v>
      </c>
      <c r="L977" s="81" t="s">
        <v>279</v>
      </c>
      <c r="M977" s="82" t="str">
        <f>LEFT(Table1[[#This Row],[Tegevusala kood]],2)</f>
        <v>09</v>
      </c>
      <c r="N977" s="53" t="str">
        <f>VLOOKUP(Table1[[#This Row],[Tegevusala kood]],Table4[[Tegevusala kood]:[Tegevusala alanimetus]],2,FALSE)</f>
        <v>Laekvere Kool</v>
      </c>
      <c r="O977" s="42"/>
      <c r="P977" s="42"/>
      <c r="Q977" s="53" t="str">
        <f>VLOOKUP(Table1[[#This Row],[Eelarvekonto]],Table5[[Konto]:[Kontode alanimetus]],5,FALSE)</f>
        <v>Majandamiskulud</v>
      </c>
      <c r="R977" s="53" t="str">
        <f>VLOOKUP(Table1[[#This Row],[Tegevusala kood]],Table4[[Tegevusala kood]:[Tegevusala alanimetus]],4,FALSE)</f>
        <v>Põhihariduse otsekulud</v>
      </c>
      <c r="S977" s="53"/>
      <c r="T977" s="53"/>
      <c r="U977" s="53">
        <f>Table1[[#This Row],[Summa]]+Table1[[#This Row],[I Muudatus]]+Table1[[#This Row],[II Muudatus]]</f>
        <v>600</v>
      </c>
    </row>
    <row r="978" spans="1:21" ht="14.25" hidden="1" customHeight="1" x14ac:dyDescent="0.25">
      <c r="A978" s="42" t="s">
        <v>273</v>
      </c>
      <c r="B978" s="42">
        <v>100</v>
      </c>
      <c r="C978" s="53">
        <v>5522</v>
      </c>
      <c r="D978" s="53" t="str">
        <f>LEFT(Table1[[#This Row],[Eelarvekonto]],2)</f>
        <v>55</v>
      </c>
      <c r="E978" s="42" t="str">
        <f>VLOOKUP(Table1[[#This Row],[Eelarvekonto]],Table5[[Konto]:[Konto nimetus]],2,FALSE)</f>
        <v>Meditsiinikulud ja hügieenikulud</v>
      </c>
      <c r="F978" s="42" t="s">
        <v>139</v>
      </c>
      <c r="G978" s="42" t="s">
        <v>24</v>
      </c>
      <c r="H978" s="42"/>
      <c r="I978" s="42"/>
      <c r="J978" s="42" t="s">
        <v>280</v>
      </c>
      <c r="K978" s="42" t="s">
        <v>109</v>
      </c>
      <c r="L978" s="81" t="s">
        <v>279</v>
      </c>
      <c r="M978" s="82" t="str">
        <f>LEFT(Table1[[#This Row],[Tegevusala kood]],2)</f>
        <v>09</v>
      </c>
      <c r="N978" s="53" t="str">
        <f>VLOOKUP(Table1[[#This Row],[Tegevusala kood]],Table4[[Tegevusala kood]:[Tegevusala alanimetus]],2,FALSE)</f>
        <v>Laekvere Kool</v>
      </c>
      <c r="O978" s="42"/>
      <c r="P978" s="42"/>
      <c r="Q978" s="53" t="str">
        <f>VLOOKUP(Table1[[#This Row],[Eelarvekonto]],Table5[[Konto]:[Kontode alanimetus]],5,FALSE)</f>
        <v>Majandamiskulud</v>
      </c>
      <c r="R978" s="53" t="str">
        <f>VLOOKUP(Table1[[#This Row],[Tegevusala kood]],Table4[[Tegevusala kood]:[Tegevusala alanimetus]],4,FALSE)</f>
        <v>Põhihariduse otsekulud</v>
      </c>
      <c r="S978" s="53"/>
      <c r="T978" s="53"/>
      <c r="U978" s="53">
        <f>Table1[[#This Row],[Summa]]+Table1[[#This Row],[I Muudatus]]+Table1[[#This Row],[II Muudatus]]</f>
        <v>100</v>
      </c>
    </row>
    <row r="979" spans="1:21" ht="14.25" hidden="1" customHeight="1" x14ac:dyDescent="0.25">
      <c r="A979" s="42" t="s">
        <v>1237</v>
      </c>
      <c r="B979" s="42">
        <v>500</v>
      </c>
      <c r="C979" s="53">
        <v>5515</v>
      </c>
      <c r="D979" s="53" t="str">
        <f>LEFT(Table1[[#This Row],[Eelarvekonto]],2)</f>
        <v>55</v>
      </c>
      <c r="E979" s="42" t="str">
        <f>VLOOKUP(Table1[[#This Row],[Eelarvekonto]],Table5[[Konto]:[Konto nimetus]],2,FALSE)</f>
        <v>Inventari majandamiskulud</v>
      </c>
      <c r="F979" s="42" t="s">
        <v>139</v>
      </c>
      <c r="G979" s="42" t="s">
        <v>24</v>
      </c>
      <c r="H979" s="42"/>
      <c r="I979" s="42"/>
      <c r="J979" s="42" t="s">
        <v>280</v>
      </c>
      <c r="K979" s="42" t="s">
        <v>109</v>
      </c>
      <c r="L979" s="81" t="s">
        <v>279</v>
      </c>
      <c r="M979" s="82" t="str">
        <f>LEFT(Table1[[#This Row],[Tegevusala kood]],2)</f>
        <v>09</v>
      </c>
      <c r="N979" s="53" t="str">
        <f>VLOOKUP(Table1[[#This Row],[Tegevusala kood]],Table4[[Tegevusala kood]:[Tegevusala alanimetus]],2,FALSE)</f>
        <v>Laekvere Kool</v>
      </c>
      <c r="O979" s="42"/>
      <c r="P979" s="42"/>
      <c r="Q979" s="53" t="str">
        <f>VLOOKUP(Table1[[#This Row],[Eelarvekonto]],Table5[[Konto]:[Kontode alanimetus]],5,FALSE)</f>
        <v>Majandamiskulud</v>
      </c>
      <c r="R979" s="53" t="str">
        <f>VLOOKUP(Table1[[#This Row],[Tegevusala kood]],Table4[[Tegevusala kood]:[Tegevusala alanimetus]],4,FALSE)</f>
        <v>Põhihariduse otsekulud</v>
      </c>
      <c r="S979" s="53"/>
      <c r="T979" s="53"/>
      <c r="U979" s="53">
        <f>Table1[[#This Row],[Summa]]+Table1[[#This Row],[I Muudatus]]+Table1[[#This Row],[II Muudatus]]</f>
        <v>500</v>
      </c>
    </row>
    <row r="980" spans="1:21" ht="14.25" hidden="1" customHeight="1" x14ac:dyDescent="0.25">
      <c r="A980" s="42" t="s">
        <v>1177</v>
      </c>
      <c r="B980" s="42">
        <v>1500</v>
      </c>
      <c r="C980" s="53">
        <v>5515</v>
      </c>
      <c r="D980" s="53" t="str">
        <f>LEFT(Table1[[#This Row],[Eelarvekonto]],2)</f>
        <v>55</v>
      </c>
      <c r="E980" s="42" t="str">
        <f>VLOOKUP(Table1[[#This Row],[Eelarvekonto]],Table5[[Konto]:[Konto nimetus]],2,FALSE)</f>
        <v>Inventari majandamiskulud</v>
      </c>
      <c r="F980" s="42" t="s">
        <v>139</v>
      </c>
      <c r="G980" s="42" t="s">
        <v>24</v>
      </c>
      <c r="H980" s="42"/>
      <c r="I980" s="42"/>
      <c r="J980" s="42" t="s">
        <v>280</v>
      </c>
      <c r="K980" s="42" t="s">
        <v>109</v>
      </c>
      <c r="L980" s="81" t="s">
        <v>279</v>
      </c>
      <c r="M980" s="82" t="str">
        <f>LEFT(Table1[[#This Row],[Tegevusala kood]],2)</f>
        <v>09</v>
      </c>
      <c r="N980" s="53" t="str">
        <f>VLOOKUP(Table1[[#This Row],[Tegevusala kood]],Table4[[Tegevusala kood]:[Tegevusala alanimetus]],2,FALSE)</f>
        <v>Laekvere Kool</v>
      </c>
      <c r="O980" s="42"/>
      <c r="P980" s="42"/>
      <c r="Q980" s="53" t="str">
        <f>VLOOKUP(Table1[[#This Row],[Eelarvekonto]],Table5[[Konto]:[Kontode alanimetus]],5,FALSE)</f>
        <v>Majandamiskulud</v>
      </c>
      <c r="R980" s="53" t="str">
        <f>VLOOKUP(Table1[[#This Row],[Tegevusala kood]],Table4[[Tegevusala kood]:[Tegevusala alanimetus]],4,FALSE)</f>
        <v>Põhihariduse otsekulud</v>
      </c>
      <c r="S980" s="53"/>
      <c r="T980" s="53"/>
      <c r="U980" s="53">
        <f>Table1[[#This Row],[Summa]]+Table1[[#This Row],[I Muudatus]]+Table1[[#This Row],[II Muudatus]]</f>
        <v>1500</v>
      </c>
    </row>
    <row r="981" spans="1:21" ht="14.25" hidden="1" customHeight="1" x14ac:dyDescent="0.25">
      <c r="A981" s="42" t="s">
        <v>1175</v>
      </c>
      <c r="B981" s="42">
        <v>300</v>
      </c>
      <c r="C981" s="53">
        <v>5514</v>
      </c>
      <c r="D981" s="53" t="str">
        <f>LEFT(Table1[[#This Row],[Eelarvekonto]],2)</f>
        <v>55</v>
      </c>
      <c r="E981" s="42" t="str">
        <f>VLOOKUP(Table1[[#This Row],[Eelarvekonto]],Table5[[Konto]:[Konto nimetus]],2,FALSE)</f>
        <v>Info- ja kommunikatsioonitehnoloogia kulud</v>
      </c>
      <c r="F981" s="42" t="s">
        <v>139</v>
      </c>
      <c r="G981" s="42" t="s">
        <v>24</v>
      </c>
      <c r="H981" s="42"/>
      <c r="I981" s="42"/>
      <c r="J981" s="42" t="s">
        <v>280</v>
      </c>
      <c r="K981" s="42" t="s">
        <v>109</v>
      </c>
      <c r="L981" s="81" t="s">
        <v>279</v>
      </c>
      <c r="M981" s="82" t="str">
        <f>LEFT(Table1[[#This Row],[Tegevusala kood]],2)</f>
        <v>09</v>
      </c>
      <c r="N981" s="53" t="str">
        <f>VLOOKUP(Table1[[#This Row],[Tegevusala kood]],Table4[[Tegevusala kood]:[Tegevusala alanimetus]],2,FALSE)</f>
        <v>Laekvere Kool</v>
      </c>
      <c r="O981" s="42"/>
      <c r="P981" s="42"/>
      <c r="Q981" s="53" t="str">
        <f>VLOOKUP(Table1[[#This Row],[Eelarvekonto]],Table5[[Konto]:[Kontode alanimetus]],5,FALSE)</f>
        <v>Majandamiskulud</v>
      </c>
      <c r="R981" s="53" t="str">
        <f>VLOOKUP(Table1[[#This Row],[Tegevusala kood]],Table4[[Tegevusala kood]:[Tegevusala alanimetus]],4,FALSE)</f>
        <v>Põhihariduse otsekulud</v>
      </c>
      <c r="S981" s="53"/>
      <c r="T981" s="53"/>
      <c r="U981" s="53">
        <f>Table1[[#This Row],[Summa]]+Table1[[#This Row],[I Muudatus]]+Table1[[#This Row],[II Muudatus]]</f>
        <v>300</v>
      </c>
    </row>
    <row r="982" spans="1:21" ht="14.25" hidden="1" customHeight="1" x14ac:dyDescent="0.25">
      <c r="A982" s="42" t="s">
        <v>1176</v>
      </c>
      <c r="B982" s="42">
        <v>600</v>
      </c>
      <c r="C982" s="53">
        <v>5514</v>
      </c>
      <c r="D982" s="53" t="str">
        <f>LEFT(Table1[[#This Row],[Eelarvekonto]],2)</f>
        <v>55</v>
      </c>
      <c r="E982" s="42" t="str">
        <f>VLOOKUP(Table1[[#This Row],[Eelarvekonto]],Table5[[Konto]:[Konto nimetus]],2,FALSE)</f>
        <v>Info- ja kommunikatsioonitehnoloogia kulud</v>
      </c>
      <c r="F982" s="42" t="s">
        <v>139</v>
      </c>
      <c r="G982" s="42" t="s">
        <v>24</v>
      </c>
      <c r="H982" s="42"/>
      <c r="I982" s="42"/>
      <c r="J982" s="42" t="s">
        <v>280</v>
      </c>
      <c r="K982" s="42" t="s">
        <v>109</v>
      </c>
      <c r="L982" s="81" t="s">
        <v>279</v>
      </c>
      <c r="M982" s="82" t="str">
        <f>LEFT(Table1[[#This Row],[Tegevusala kood]],2)</f>
        <v>09</v>
      </c>
      <c r="N982" s="53" t="str">
        <f>VLOOKUP(Table1[[#This Row],[Tegevusala kood]],Table4[[Tegevusala kood]:[Tegevusala alanimetus]],2,FALSE)</f>
        <v>Laekvere Kool</v>
      </c>
      <c r="O982" s="42"/>
      <c r="P982" s="42"/>
      <c r="Q982" s="53" t="str">
        <f>VLOOKUP(Table1[[#This Row],[Eelarvekonto]],Table5[[Konto]:[Kontode alanimetus]],5,FALSE)</f>
        <v>Majandamiskulud</v>
      </c>
      <c r="R982" s="53" t="str">
        <f>VLOOKUP(Table1[[#This Row],[Tegevusala kood]],Table4[[Tegevusala kood]:[Tegevusala alanimetus]],4,FALSE)</f>
        <v>Põhihariduse otsekulud</v>
      </c>
      <c r="S982" s="53"/>
      <c r="T982" s="53"/>
      <c r="U982" s="53">
        <f>Table1[[#This Row],[Summa]]+Table1[[#This Row],[I Muudatus]]+Table1[[#This Row],[II Muudatus]]</f>
        <v>600</v>
      </c>
    </row>
    <row r="983" spans="1:21" ht="14.25" hidden="1" customHeight="1" x14ac:dyDescent="0.25">
      <c r="A983" s="42" t="s">
        <v>1238</v>
      </c>
      <c r="B983" s="42">
        <v>500</v>
      </c>
      <c r="C983" s="53">
        <v>5514</v>
      </c>
      <c r="D983" s="53" t="str">
        <f>LEFT(Table1[[#This Row],[Eelarvekonto]],2)</f>
        <v>55</v>
      </c>
      <c r="E983" s="42" t="str">
        <f>VLOOKUP(Table1[[#This Row],[Eelarvekonto]],Table5[[Konto]:[Konto nimetus]],2,FALSE)</f>
        <v>Info- ja kommunikatsioonitehnoloogia kulud</v>
      </c>
      <c r="F983" s="42" t="s">
        <v>139</v>
      </c>
      <c r="G983" s="42" t="s">
        <v>24</v>
      </c>
      <c r="H983" s="42"/>
      <c r="I983" s="42"/>
      <c r="J983" s="42" t="s">
        <v>280</v>
      </c>
      <c r="K983" s="42" t="s">
        <v>109</v>
      </c>
      <c r="L983" s="81" t="s">
        <v>279</v>
      </c>
      <c r="M983" s="82" t="str">
        <f>LEFT(Table1[[#This Row],[Tegevusala kood]],2)</f>
        <v>09</v>
      </c>
      <c r="N983" s="53" t="str">
        <f>VLOOKUP(Table1[[#This Row],[Tegevusala kood]],Table4[[Tegevusala kood]:[Tegevusala alanimetus]],2,FALSE)</f>
        <v>Laekvere Kool</v>
      </c>
      <c r="O983" s="42"/>
      <c r="P983" s="42"/>
      <c r="Q983" s="53" t="str">
        <f>VLOOKUP(Table1[[#This Row],[Eelarvekonto]],Table5[[Konto]:[Kontode alanimetus]],5,FALSE)</f>
        <v>Majandamiskulud</v>
      </c>
      <c r="R983" s="53" t="str">
        <f>VLOOKUP(Table1[[#This Row],[Tegevusala kood]],Table4[[Tegevusala kood]:[Tegevusala alanimetus]],4,FALSE)</f>
        <v>Põhihariduse otsekulud</v>
      </c>
      <c r="S983" s="53"/>
      <c r="T983" s="53"/>
      <c r="U983" s="53">
        <f>Table1[[#This Row],[Summa]]+Table1[[#This Row],[I Muudatus]]+Table1[[#This Row],[II Muudatus]]</f>
        <v>500</v>
      </c>
    </row>
    <row r="984" spans="1:21" ht="14.25" hidden="1" customHeight="1" x14ac:dyDescent="0.25">
      <c r="A984" s="42" t="s">
        <v>958</v>
      </c>
      <c r="B984" s="42">
        <v>500</v>
      </c>
      <c r="C984" s="53">
        <v>5511</v>
      </c>
      <c r="D984" s="53" t="str">
        <f>LEFT(Table1[[#This Row],[Eelarvekonto]],2)</f>
        <v>55</v>
      </c>
      <c r="E984" s="42" t="str">
        <f>VLOOKUP(Table1[[#This Row],[Eelarvekonto]],Table5[[Konto]:[Konto nimetus]],2,FALSE)</f>
        <v>Kinnistute, hoonete ja ruumide majandamiskulud</v>
      </c>
      <c r="F984" s="42" t="s">
        <v>139</v>
      </c>
      <c r="G984" s="42" t="s">
        <v>24</v>
      </c>
      <c r="H984" s="42"/>
      <c r="I984" s="42"/>
      <c r="J984" s="42" t="s">
        <v>280</v>
      </c>
      <c r="K984" s="42" t="s">
        <v>109</v>
      </c>
      <c r="L984" s="81" t="s">
        <v>279</v>
      </c>
      <c r="M984" s="82" t="str">
        <f>LEFT(Table1[[#This Row],[Tegevusala kood]],2)</f>
        <v>09</v>
      </c>
      <c r="N984" s="53" t="str">
        <f>VLOOKUP(Table1[[#This Row],[Tegevusala kood]],Table4[[Tegevusala kood]:[Tegevusala alanimetus]],2,FALSE)</f>
        <v>Laekvere Kool</v>
      </c>
      <c r="O984" s="42"/>
      <c r="P984" s="42"/>
      <c r="Q984" s="53" t="str">
        <f>VLOOKUP(Table1[[#This Row],[Eelarvekonto]],Table5[[Konto]:[Kontode alanimetus]],5,FALSE)</f>
        <v>Majandamiskulud</v>
      </c>
      <c r="R984" s="53" t="str">
        <f>VLOOKUP(Table1[[#This Row],[Tegevusala kood]],Table4[[Tegevusala kood]:[Tegevusala alanimetus]],4,FALSE)</f>
        <v>Põhihariduse otsekulud</v>
      </c>
      <c r="S984" s="53"/>
      <c r="T984" s="53"/>
      <c r="U984" s="53">
        <f>Table1[[#This Row],[Summa]]+Table1[[#This Row],[I Muudatus]]+Table1[[#This Row],[II Muudatus]]</f>
        <v>500</v>
      </c>
    </row>
    <row r="985" spans="1:21" ht="14.25" hidden="1" customHeight="1" x14ac:dyDescent="0.25">
      <c r="A985" s="42" t="s">
        <v>271</v>
      </c>
      <c r="B985" s="42">
        <v>200</v>
      </c>
      <c r="C985" s="53">
        <v>5511</v>
      </c>
      <c r="D985" s="53" t="str">
        <f>LEFT(Table1[[#This Row],[Eelarvekonto]],2)</f>
        <v>55</v>
      </c>
      <c r="E985" s="42" t="str">
        <f>VLOOKUP(Table1[[#This Row],[Eelarvekonto]],Table5[[Konto]:[Konto nimetus]],2,FALSE)</f>
        <v>Kinnistute, hoonete ja ruumide majandamiskulud</v>
      </c>
      <c r="F985" s="42" t="s">
        <v>139</v>
      </c>
      <c r="G985" s="42" t="s">
        <v>24</v>
      </c>
      <c r="H985" s="42"/>
      <c r="I985" s="42"/>
      <c r="J985" s="42" t="s">
        <v>280</v>
      </c>
      <c r="K985" s="42" t="s">
        <v>109</v>
      </c>
      <c r="L985" s="81" t="s">
        <v>279</v>
      </c>
      <c r="M985" s="82" t="str">
        <f>LEFT(Table1[[#This Row],[Tegevusala kood]],2)</f>
        <v>09</v>
      </c>
      <c r="N985" s="53" t="str">
        <f>VLOOKUP(Table1[[#This Row],[Tegevusala kood]],Table4[[Tegevusala kood]:[Tegevusala alanimetus]],2,FALSE)</f>
        <v>Laekvere Kool</v>
      </c>
      <c r="O985" s="42"/>
      <c r="P985" s="42"/>
      <c r="Q985" s="53" t="str">
        <f>VLOOKUP(Table1[[#This Row],[Eelarvekonto]],Table5[[Konto]:[Kontode alanimetus]],5,FALSE)</f>
        <v>Majandamiskulud</v>
      </c>
      <c r="R985" s="53" t="str">
        <f>VLOOKUP(Table1[[#This Row],[Tegevusala kood]],Table4[[Tegevusala kood]:[Tegevusala alanimetus]],4,FALSE)</f>
        <v>Põhihariduse otsekulud</v>
      </c>
      <c r="S985" s="53"/>
      <c r="T985" s="53"/>
      <c r="U985" s="53">
        <f>Table1[[#This Row],[Summa]]+Table1[[#This Row],[I Muudatus]]+Table1[[#This Row],[II Muudatus]]</f>
        <v>200</v>
      </c>
    </row>
    <row r="986" spans="1:21" ht="14.25" hidden="1" customHeight="1" x14ac:dyDescent="0.25">
      <c r="A986" s="42" t="s">
        <v>143</v>
      </c>
      <c r="B986" s="42">
        <v>2000</v>
      </c>
      <c r="C986" s="53">
        <v>5511</v>
      </c>
      <c r="D986" s="53" t="str">
        <f>LEFT(Table1[[#This Row],[Eelarvekonto]],2)</f>
        <v>55</v>
      </c>
      <c r="E986" s="42" t="str">
        <f>VLOOKUP(Table1[[#This Row],[Eelarvekonto]],Table5[[Konto]:[Konto nimetus]],2,FALSE)</f>
        <v>Kinnistute, hoonete ja ruumide majandamiskulud</v>
      </c>
      <c r="F986" s="42" t="s">
        <v>139</v>
      </c>
      <c r="G986" s="42" t="s">
        <v>24</v>
      </c>
      <c r="H986" s="42"/>
      <c r="I986" s="42"/>
      <c r="J986" s="42" t="s">
        <v>280</v>
      </c>
      <c r="K986" s="42" t="s">
        <v>109</v>
      </c>
      <c r="L986" s="81" t="s">
        <v>279</v>
      </c>
      <c r="M986" s="82" t="str">
        <f>LEFT(Table1[[#This Row],[Tegevusala kood]],2)</f>
        <v>09</v>
      </c>
      <c r="N986" s="53" t="str">
        <f>VLOOKUP(Table1[[#This Row],[Tegevusala kood]],Table4[[Tegevusala kood]:[Tegevusala alanimetus]],2,FALSE)</f>
        <v>Laekvere Kool</v>
      </c>
      <c r="O986" s="42"/>
      <c r="P986" s="42"/>
      <c r="Q986" s="53" t="str">
        <f>VLOOKUP(Table1[[#This Row],[Eelarvekonto]],Table5[[Konto]:[Kontode alanimetus]],5,FALSE)</f>
        <v>Majandamiskulud</v>
      </c>
      <c r="R986" s="53" t="str">
        <f>VLOOKUP(Table1[[#This Row],[Tegevusala kood]],Table4[[Tegevusala kood]:[Tegevusala alanimetus]],4,FALSE)</f>
        <v>Põhihariduse otsekulud</v>
      </c>
      <c r="S986" s="53"/>
      <c r="T986" s="53"/>
      <c r="U986" s="53">
        <f>Table1[[#This Row],[Summa]]+Table1[[#This Row],[I Muudatus]]+Table1[[#This Row],[II Muudatus]]</f>
        <v>2000</v>
      </c>
    </row>
    <row r="987" spans="1:21" ht="14.25" hidden="1" customHeight="1" x14ac:dyDescent="0.25">
      <c r="A987" s="42" t="s">
        <v>309</v>
      </c>
      <c r="B987" s="42">
        <v>100</v>
      </c>
      <c r="C987" s="53">
        <v>5500</v>
      </c>
      <c r="D987" s="53" t="str">
        <f>LEFT(Table1[[#This Row],[Eelarvekonto]],2)</f>
        <v>55</v>
      </c>
      <c r="E987" s="42" t="str">
        <f>VLOOKUP(Table1[[#This Row],[Eelarvekonto]],Table5[[Konto]:[Konto nimetus]],2,FALSE)</f>
        <v>Administreerimiskulud</v>
      </c>
      <c r="F987" s="42" t="s">
        <v>139</v>
      </c>
      <c r="G987" s="42" t="s">
        <v>24</v>
      </c>
      <c r="H987" s="42"/>
      <c r="I987" s="42"/>
      <c r="J987" s="42" t="s">
        <v>280</v>
      </c>
      <c r="K987" s="42" t="s">
        <v>109</v>
      </c>
      <c r="L987" s="81" t="s">
        <v>279</v>
      </c>
      <c r="M987" s="82" t="str">
        <f>LEFT(Table1[[#This Row],[Tegevusala kood]],2)</f>
        <v>09</v>
      </c>
      <c r="N987" s="53" t="str">
        <f>VLOOKUP(Table1[[#This Row],[Tegevusala kood]],Table4[[Tegevusala kood]:[Tegevusala alanimetus]],2,FALSE)</f>
        <v>Laekvere Kool</v>
      </c>
      <c r="O987" s="42"/>
      <c r="P987" s="42"/>
      <c r="Q987" s="53" t="str">
        <f>VLOOKUP(Table1[[#This Row],[Eelarvekonto]],Table5[[Konto]:[Kontode alanimetus]],5,FALSE)</f>
        <v>Majandamiskulud</v>
      </c>
      <c r="R987" s="53" t="str">
        <f>VLOOKUP(Table1[[#This Row],[Tegevusala kood]],Table4[[Tegevusala kood]:[Tegevusala alanimetus]],4,FALSE)</f>
        <v>Põhihariduse otsekulud</v>
      </c>
      <c r="S987" s="53"/>
      <c r="T987" s="53"/>
      <c r="U987" s="53">
        <f>Table1[[#This Row],[Summa]]+Table1[[#This Row],[I Muudatus]]+Table1[[#This Row],[II Muudatus]]</f>
        <v>100</v>
      </c>
    </row>
    <row r="988" spans="1:21" ht="14.25" hidden="1" customHeight="1" x14ac:dyDescent="0.25">
      <c r="A988" s="42" t="s">
        <v>1239</v>
      </c>
      <c r="B988" s="42">
        <v>50</v>
      </c>
      <c r="C988" s="53">
        <v>5500</v>
      </c>
      <c r="D988" s="53" t="str">
        <f>LEFT(Table1[[#This Row],[Eelarvekonto]],2)</f>
        <v>55</v>
      </c>
      <c r="E988" s="42" t="str">
        <f>VLOOKUP(Table1[[#This Row],[Eelarvekonto]],Table5[[Konto]:[Konto nimetus]],2,FALSE)</f>
        <v>Administreerimiskulud</v>
      </c>
      <c r="F988" s="42" t="s">
        <v>139</v>
      </c>
      <c r="G988" s="42" t="s">
        <v>24</v>
      </c>
      <c r="H988" s="42"/>
      <c r="I988" s="42"/>
      <c r="J988" s="42" t="s">
        <v>280</v>
      </c>
      <c r="K988" s="42" t="s">
        <v>109</v>
      </c>
      <c r="L988" s="81" t="s">
        <v>279</v>
      </c>
      <c r="M988" s="82" t="str">
        <f>LEFT(Table1[[#This Row],[Tegevusala kood]],2)</f>
        <v>09</v>
      </c>
      <c r="N988" s="53" t="str">
        <f>VLOOKUP(Table1[[#This Row],[Tegevusala kood]],Table4[[Tegevusala kood]:[Tegevusala alanimetus]],2,FALSE)</f>
        <v>Laekvere Kool</v>
      </c>
      <c r="O988" s="42"/>
      <c r="P988" s="42"/>
      <c r="Q988" s="53" t="str">
        <f>VLOOKUP(Table1[[#This Row],[Eelarvekonto]],Table5[[Konto]:[Kontode alanimetus]],5,FALSE)</f>
        <v>Majandamiskulud</v>
      </c>
      <c r="R988" s="53" t="str">
        <f>VLOOKUP(Table1[[#This Row],[Tegevusala kood]],Table4[[Tegevusala kood]:[Tegevusala alanimetus]],4,FALSE)</f>
        <v>Põhihariduse otsekulud</v>
      </c>
      <c r="S988" s="53"/>
      <c r="T988" s="53"/>
      <c r="U988" s="53">
        <f>Table1[[#This Row],[Summa]]+Table1[[#This Row],[I Muudatus]]+Table1[[#This Row],[II Muudatus]]</f>
        <v>50</v>
      </c>
    </row>
    <row r="989" spans="1:21" ht="14.25" hidden="1" customHeight="1" x14ac:dyDescent="0.25">
      <c r="A989" s="42" t="s">
        <v>198</v>
      </c>
      <c r="B989" s="42">
        <v>100</v>
      </c>
      <c r="C989" s="53">
        <v>5500</v>
      </c>
      <c r="D989" s="53" t="str">
        <f>LEFT(Table1[[#This Row],[Eelarvekonto]],2)</f>
        <v>55</v>
      </c>
      <c r="E989" s="42" t="str">
        <f>VLOOKUP(Table1[[#This Row],[Eelarvekonto]],Table5[[Konto]:[Konto nimetus]],2,FALSE)</f>
        <v>Administreerimiskulud</v>
      </c>
      <c r="F989" s="42" t="s">
        <v>139</v>
      </c>
      <c r="G989" s="42" t="s">
        <v>24</v>
      </c>
      <c r="H989" s="42"/>
      <c r="I989" s="42"/>
      <c r="J989" s="42" t="s">
        <v>280</v>
      </c>
      <c r="K989" s="42" t="s">
        <v>109</v>
      </c>
      <c r="L989" s="81" t="s">
        <v>279</v>
      </c>
      <c r="M989" s="82" t="str">
        <f>LEFT(Table1[[#This Row],[Tegevusala kood]],2)</f>
        <v>09</v>
      </c>
      <c r="N989" s="53" t="str">
        <f>VLOOKUP(Table1[[#This Row],[Tegevusala kood]],Table4[[Tegevusala kood]:[Tegevusala alanimetus]],2,FALSE)</f>
        <v>Laekvere Kool</v>
      </c>
      <c r="O989" s="42"/>
      <c r="P989" s="42"/>
      <c r="Q989" s="53" t="str">
        <f>VLOOKUP(Table1[[#This Row],[Eelarvekonto]],Table5[[Konto]:[Kontode alanimetus]],5,FALSE)</f>
        <v>Majandamiskulud</v>
      </c>
      <c r="R989" s="53" t="str">
        <f>VLOOKUP(Table1[[#This Row],[Tegevusala kood]],Table4[[Tegevusala kood]:[Tegevusala alanimetus]],4,FALSE)</f>
        <v>Põhihariduse otsekulud</v>
      </c>
      <c r="S989" s="53"/>
      <c r="T989" s="53"/>
      <c r="U989" s="53">
        <f>Table1[[#This Row],[Summa]]+Table1[[#This Row],[I Muudatus]]+Table1[[#This Row],[II Muudatus]]</f>
        <v>100</v>
      </c>
    </row>
    <row r="990" spans="1:21" ht="14.25" hidden="1" customHeight="1" x14ac:dyDescent="0.25">
      <c r="A990" s="42" t="s">
        <v>1240</v>
      </c>
      <c r="B990" s="42">
        <v>150</v>
      </c>
      <c r="C990" s="53">
        <v>5500</v>
      </c>
      <c r="D990" s="53" t="str">
        <f>LEFT(Table1[[#This Row],[Eelarvekonto]],2)</f>
        <v>55</v>
      </c>
      <c r="E990" s="42" t="str">
        <f>VLOOKUP(Table1[[#This Row],[Eelarvekonto]],Table5[[Konto]:[Konto nimetus]],2,FALSE)</f>
        <v>Administreerimiskulud</v>
      </c>
      <c r="F990" s="42" t="s">
        <v>139</v>
      </c>
      <c r="G990" s="42" t="s">
        <v>24</v>
      </c>
      <c r="H990" s="42"/>
      <c r="I990" s="42"/>
      <c r="J990" s="42" t="s">
        <v>280</v>
      </c>
      <c r="K990" s="42" t="s">
        <v>109</v>
      </c>
      <c r="L990" s="81" t="s">
        <v>279</v>
      </c>
      <c r="M990" s="82" t="str">
        <f>LEFT(Table1[[#This Row],[Tegevusala kood]],2)</f>
        <v>09</v>
      </c>
      <c r="N990" s="53" t="str">
        <f>VLOOKUP(Table1[[#This Row],[Tegevusala kood]],Table4[[Tegevusala kood]:[Tegevusala alanimetus]],2,FALSE)</f>
        <v>Laekvere Kool</v>
      </c>
      <c r="O990" s="42"/>
      <c r="P990" s="42"/>
      <c r="Q990" s="53" t="str">
        <f>VLOOKUP(Table1[[#This Row],[Eelarvekonto]],Table5[[Konto]:[Kontode alanimetus]],5,FALSE)</f>
        <v>Majandamiskulud</v>
      </c>
      <c r="R990" s="53" t="str">
        <f>VLOOKUP(Table1[[#This Row],[Tegevusala kood]],Table4[[Tegevusala kood]:[Tegevusala alanimetus]],4,FALSE)</f>
        <v>Põhihariduse otsekulud</v>
      </c>
      <c r="S990" s="53"/>
      <c r="T990" s="53"/>
      <c r="U990" s="53">
        <f>Table1[[#This Row],[Summa]]+Table1[[#This Row],[I Muudatus]]+Table1[[#This Row],[II Muudatus]]</f>
        <v>150</v>
      </c>
    </row>
    <row r="991" spans="1:21" ht="14.25" hidden="1" customHeight="1" x14ac:dyDescent="0.25">
      <c r="A991" s="42" t="s">
        <v>207</v>
      </c>
      <c r="B991" s="42">
        <v>350</v>
      </c>
      <c r="C991" s="53">
        <v>5500</v>
      </c>
      <c r="D991" s="53" t="str">
        <f>LEFT(Table1[[#This Row],[Eelarvekonto]],2)</f>
        <v>55</v>
      </c>
      <c r="E991" s="42" t="str">
        <f>VLOOKUP(Table1[[#This Row],[Eelarvekonto]],Table5[[Konto]:[Konto nimetus]],2,FALSE)</f>
        <v>Administreerimiskulud</v>
      </c>
      <c r="F991" s="42" t="s">
        <v>139</v>
      </c>
      <c r="G991" s="42" t="s">
        <v>24</v>
      </c>
      <c r="H991" s="42"/>
      <c r="I991" s="42"/>
      <c r="J991" s="42" t="s">
        <v>280</v>
      </c>
      <c r="K991" s="42" t="s">
        <v>109</v>
      </c>
      <c r="L991" s="81" t="s">
        <v>279</v>
      </c>
      <c r="M991" s="82" t="str">
        <f>LEFT(Table1[[#This Row],[Tegevusala kood]],2)</f>
        <v>09</v>
      </c>
      <c r="N991" s="53" t="str">
        <f>VLOOKUP(Table1[[#This Row],[Tegevusala kood]],Table4[[Tegevusala kood]:[Tegevusala alanimetus]],2,FALSE)</f>
        <v>Laekvere Kool</v>
      </c>
      <c r="O991" s="42"/>
      <c r="P991" s="42"/>
      <c r="Q991" s="53" t="str">
        <f>VLOOKUP(Table1[[#This Row],[Eelarvekonto]],Table5[[Konto]:[Kontode alanimetus]],5,FALSE)</f>
        <v>Majandamiskulud</v>
      </c>
      <c r="R991" s="53" t="str">
        <f>VLOOKUP(Table1[[#This Row],[Tegevusala kood]],Table4[[Tegevusala kood]:[Tegevusala alanimetus]],4,FALSE)</f>
        <v>Põhihariduse otsekulud</v>
      </c>
      <c r="S991" s="53"/>
      <c r="T991" s="53"/>
      <c r="U991" s="53">
        <f>Table1[[#This Row],[Summa]]+Table1[[#This Row],[I Muudatus]]+Table1[[#This Row],[II Muudatus]]</f>
        <v>350</v>
      </c>
    </row>
    <row r="992" spans="1:21" ht="14.25" hidden="1" customHeight="1" x14ac:dyDescent="0.25">
      <c r="A992" s="42" t="s">
        <v>466</v>
      </c>
      <c r="B992" s="42">
        <v>50</v>
      </c>
      <c r="C992" s="53">
        <v>5500</v>
      </c>
      <c r="D992" s="53" t="str">
        <f>LEFT(Table1[[#This Row],[Eelarvekonto]],2)</f>
        <v>55</v>
      </c>
      <c r="E992" s="42" t="str">
        <f>VLOOKUP(Table1[[#This Row],[Eelarvekonto]],Table5[[Konto]:[Konto nimetus]],2,FALSE)</f>
        <v>Administreerimiskulud</v>
      </c>
      <c r="F992" s="42" t="s">
        <v>139</v>
      </c>
      <c r="G992" s="42" t="s">
        <v>24</v>
      </c>
      <c r="H992" s="42"/>
      <c r="I992" s="42"/>
      <c r="J992" s="42" t="s">
        <v>280</v>
      </c>
      <c r="K992" s="42" t="s">
        <v>109</v>
      </c>
      <c r="L992" s="81" t="s">
        <v>279</v>
      </c>
      <c r="M992" s="82" t="str">
        <f>LEFT(Table1[[#This Row],[Tegevusala kood]],2)</f>
        <v>09</v>
      </c>
      <c r="N992" s="53" t="str">
        <f>VLOOKUP(Table1[[#This Row],[Tegevusala kood]],Table4[[Tegevusala kood]:[Tegevusala alanimetus]],2,FALSE)</f>
        <v>Laekvere Kool</v>
      </c>
      <c r="O992" s="42"/>
      <c r="P992" s="42"/>
      <c r="Q992" s="53" t="str">
        <f>VLOOKUP(Table1[[#This Row],[Eelarvekonto]],Table5[[Konto]:[Kontode alanimetus]],5,FALSE)</f>
        <v>Majandamiskulud</v>
      </c>
      <c r="R992" s="53" t="str">
        <f>VLOOKUP(Table1[[#This Row],[Tegevusala kood]],Table4[[Tegevusala kood]:[Tegevusala alanimetus]],4,FALSE)</f>
        <v>Põhihariduse otsekulud</v>
      </c>
      <c r="S992" s="53"/>
      <c r="T992" s="53"/>
      <c r="U992" s="53">
        <f>Table1[[#This Row],[Summa]]+Table1[[#This Row],[I Muudatus]]+Table1[[#This Row],[II Muudatus]]</f>
        <v>50</v>
      </c>
    </row>
    <row r="993" spans="1:21" ht="14.25" hidden="1" customHeight="1" x14ac:dyDescent="0.25">
      <c r="A993" s="42" t="s">
        <v>1241</v>
      </c>
      <c r="B993" s="42">
        <v>150</v>
      </c>
      <c r="C993" s="53">
        <v>5500</v>
      </c>
      <c r="D993" s="53" t="str">
        <f>LEFT(Table1[[#This Row],[Eelarvekonto]],2)</f>
        <v>55</v>
      </c>
      <c r="E993" s="42" t="str">
        <f>VLOOKUP(Table1[[#This Row],[Eelarvekonto]],Table5[[Konto]:[Konto nimetus]],2,FALSE)</f>
        <v>Administreerimiskulud</v>
      </c>
      <c r="F993" s="42" t="s">
        <v>139</v>
      </c>
      <c r="G993" s="42" t="s">
        <v>24</v>
      </c>
      <c r="H993" s="42"/>
      <c r="I993" s="42"/>
      <c r="J993" s="42" t="s">
        <v>280</v>
      </c>
      <c r="K993" s="42" t="s">
        <v>109</v>
      </c>
      <c r="L993" s="81" t="s">
        <v>279</v>
      </c>
      <c r="M993" s="82" t="str">
        <f>LEFT(Table1[[#This Row],[Tegevusala kood]],2)</f>
        <v>09</v>
      </c>
      <c r="N993" s="53" t="str">
        <f>VLOOKUP(Table1[[#This Row],[Tegevusala kood]],Table4[[Tegevusala kood]:[Tegevusala alanimetus]],2,FALSE)</f>
        <v>Laekvere Kool</v>
      </c>
      <c r="O993" s="42"/>
      <c r="P993" s="42"/>
      <c r="Q993" s="53" t="str">
        <f>VLOOKUP(Table1[[#This Row],[Eelarvekonto]],Table5[[Konto]:[Kontode alanimetus]],5,FALSE)</f>
        <v>Majandamiskulud</v>
      </c>
      <c r="R993" s="53" t="str">
        <f>VLOOKUP(Table1[[#This Row],[Tegevusala kood]],Table4[[Tegevusala kood]:[Tegevusala alanimetus]],4,FALSE)</f>
        <v>Põhihariduse otsekulud</v>
      </c>
      <c r="S993" s="53"/>
      <c r="T993" s="53"/>
      <c r="U993" s="53">
        <f>Table1[[#This Row],[Summa]]+Table1[[#This Row],[I Muudatus]]+Table1[[#This Row],[II Muudatus]]</f>
        <v>150</v>
      </c>
    </row>
    <row r="994" spans="1:21" ht="14.25" hidden="1" customHeight="1" x14ac:dyDescent="0.25">
      <c r="A994" s="42" t="s">
        <v>187</v>
      </c>
      <c r="B994" s="42">
        <v>400</v>
      </c>
      <c r="C994" s="53">
        <v>5500</v>
      </c>
      <c r="D994" s="53" t="str">
        <f>LEFT(Table1[[#This Row],[Eelarvekonto]],2)</f>
        <v>55</v>
      </c>
      <c r="E994" s="42" t="str">
        <f>VLOOKUP(Table1[[#This Row],[Eelarvekonto]],Table5[[Konto]:[Konto nimetus]],2,FALSE)</f>
        <v>Administreerimiskulud</v>
      </c>
      <c r="F994" s="42" t="s">
        <v>139</v>
      </c>
      <c r="G994" s="42" t="s">
        <v>24</v>
      </c>
      <c r="H994" s="42"/>
      <c r="I994" s="42"/>
      <c r="J994" s="42" t="s">
        <v>280</v>
      </c>
      <c r="K994" s="42" t="s">
        <v>109</v>
      </c>
      <c r="L994" s="81" t="s">
        <v>279</v>
      </c>
      <c r="M994" s="82" t="str">
        <f>LEFT(Table1[[#This Row],[Tegevusala kood]],2)</f>
        <v>09</v>
      </c>
      <c r="N994" s="53" t="str">
        <f>VLOOKUP(Table1[[#This Row],[Tegevusala kood]],Table4[[Tegevusala kood]:[Tegevusala alanimetus]],2,FALSE)</f>
        <v>Laekvere Kool</v>
      </c>
      <c r="O994" s="42"/>
      <c r="P994" s="42"/>
      <c r="Q994" s="53" t="str">
        <f>VLOOKUP(Table1[[#This Row],[Eelarvekonto]],Table5[[Konto]:[Kontode alanimetus]],5,FALSE)</f>
        <v>Majandamiskulud</v>
      </c>
      <c r="R994" s="53" t="str">
        <f>VLOOKUP(Table1[[#This Row],[Tegevusala kood]],Table4[[Tegevusala kood]:[Tegevusala alanimetus]],4,FALSE)</f>
        <v>Põhihariduse otsekulud</v>
      </c>
      <c r="S994" s="53"/>
      <c r="T994" s="53"/>
      <c r="U994" s="53">
        <f>Table1[[#This Row],[Summa]]+Table1[[#This Row],[I Muudatus]]+Table1[[#This Row],[II Muudatus]]</f>
        <v>400</v>
      </c>
    </row>
    <row r="995" spans="1:21" ht="14.25" hidden="1" customHeight="1" x14ac:dyDescent="0.25">
      <c r="A995" s="42" t="s">
        <v>140</v>
      </c>
      <c r="B995" s="42">
        <v>1800</v>
      </c>
      <c r="C995" s="53">
        <v>5504</v>
      </c>
      <c r="D995" s="53" t="str">
        <f>LEFT(Table1[[#This Row],[Eelarvekonto]],2)</f>
        <v>55</v>
      </c>
      <c r="E995" s="42" t="str">
        <f>VLOOKUP(Table1[[#This Row],[Eelarvekonto]],Table5[[Konto]:[Konto nimetus]],2,FALSE)</f>
        <v>Koolituskulud (sh koolituslähetus)</v>
      </c>
      <c r="F995" s="42" t="s">
        <v>139</v>
      </c>
      <c r="G995" s="42" t="s">
        <v>24</v>
      </c>
      <c r="H995" s="42"/>
      <c r="I995" s="42"/>
      <c r="J995" s="42" t="s">
        <v>280</v>
      </c>
      <c r="K995" s="42" t="s">
        <v>109</v>
      </c>
      <c r="L995" s="81" t="s">
        <v>279</v>
      </c>
      <c r="M995" s="82" t="str">
        <f>LEFT(Table1[[#This Row],[Tegevusala kood]],2)</f>
        <v>09</v>
      </c>
      <c r="N995" s="53" t="str">
        <f>VLOOKUP(Table1[[#This Row],[Tegevusala kood]],Table4[[Tegevusala kood]:[Tegevusala alanimetus]],2,FALSE)</f>
        <v>Laekvere Kool</v>
      </c>
      <c r="O995" s="42"/>
      <c r="P995" s="42"/>
      <c r="Q995" s="53" t="str">
        <f>VLOOKUP(Table1[[#This Row],[Eelarvekonto]],Table5[[Konto]:[Kontode alanimetus]],5,FALSE)</f>
        <v>Majandamiskulud</v>
      </c>
      <c r="R995" s="53" t="str">
        <f>VLOOKUP(Table1[[#This Row],[Tegevusala kood]],Table4[[Tegevusala kood]:[Tegevusala alanimetus]],4,FALSE)</f>
        <v>Põhihariduse otsekulud</v>
      </c>
      <c r="S995" s="53"/>
      <c r="T995" s="53"/>
      <c r="U995" s="53">
        <f>Table1[[#This Row],[Summa]]+Table1[[#This Row],[I Muudatus]]+Table1[[#This Row],[II Muudatus]]</f>
        <v>1800</v>
      </c>
    </row>
    <row r="996" spans="1:21" ht="14.25" hidden="1" customHeight="1" x14ac:dyDescent="0.25">
      <c r="A996" s="42" t="s">
        <v>202</v>
      </c>
      <c r="B996" s="42"/>
      <c r="C996" s="53">
        <v>5511</v>
      </c>
      <c r="D996" s="53" t="str">
        <f>LEFT(Table1[[#This Row],[Eelarvekonto]],2)</f>
        <v>55</v>
      </c>
      <c r="E996" s="42" t="str">
        <f>VLOOKUP(Table1[[#This Row],[Eelarvekonto]],Table5[[Konto]:[Konto nimetus]],2,FALSE)</f>
        <v>Kinnistute, hoonete ja ruumide majandamiskulud</v>
      </c>
      <c r="F996" s="42" t="s">
        <v>139</v>
      </c>
      <c r="G996" s="42" t="s">
        <v>24</v>
      </c>
      <c r="H996" s="42"/>
      <c r="I996" s="42"/>
      <c r="J996" s="42" t="s">
        <v>280</v>
      </c>
      <c r="K996" s="42" t="s">
        <v>109</v>
      </c>
      <c r="L996" s="81" t="s">
        <v>279</v>
      </c>
      <c r="M996" s="82" t="str">
        <f>LEFT(Table1[[#This Row],[Tegevusala kood]],2)</f>
        <v>09</v>
      </c>
      <c r="N996" s="53" t="str">
        <f>VLOOKUP(Table1[[#This Row],[Tegevusala kood]],Table4[[Tegevusala kood]:[Tegevusala alanimetus]],2,FALSE)</f>
        <v>Laekvere Kool</v>
      </c>
      <c r="O996" s="42"/>
      <c r="P996" s="42"/>
      <c r="Q996" s="53" t="str">
        <f>VLOOKUP(Table1[[#This Row],[Eelarvekonto]],Table5[[Konto]:[Kontode alanimetus]],5,FALSE)</f>
        <v>Majandamiskulud</v>
      </c>
      <c r="R996" s="53" t="str">
        <f>VLOOKUP(Table1[[#This Row],[Tegevusala kood]],Table4[[Tegevusala kood]:[Tegevusala alanimetus]],4,FALSE)</f>
        <v>Põhihariduse otsekulud</v>
      </c>
      <c r="S996" s="53"/>
      <c r="T996" s="53"/>
      <c r="U996" s="53">
        <f>Table1[[#This Row],[Summa]]+Table1[[#This Row],[I Muudatus]]+Table1[[#This Row],[II Muudatus]]</f>
        <v>0</v>
      </c>
    </row>
    <row r="997" spans="1:21" ht="14.25" hidden="1" customHeight="1" x14ac:dyDescent="0.25">
      <c r="A997" s="42" t="s">
        <v>239</v>
      </c>
      <c r="B997" s="42">
        <v>600</v>
      </c>
      <c r="C997" s="53">
        <v>5500</v>
      </c>
      <c r="D997" s="53" t="str">
        <f>LEFT(Table1[[#This Row],[Eelarvekonto]],2)</f>
        <v>55</v>
      </c>
      <c r="E997" s="42" t="str">
        <f>VLOOKUP(Table1[[#This Row],[Eelarvekonto]],Table5[[Konto]:[Konto nimetus]],2,FALSE)</f>
        <v>Administreerimiskulud</v>
      </c>
      <c r="F997" s="42" t="s">
        <v>139</v>
      </c>
      <c r="G997" s="42" t="s">
        <v>24</v>
      </c>
      <c r="H997" s="42"/>
      <c r="I997" s="42"/>
      <c r="J997" s="42" t="s">
        <v>280</v>
      </c>
      <c r="K997" s="42" t="s">
        <v>109</v>
      </c>
      <c r="L997" s="81" t="s">
        <v>279</v>
      </c>
      <c r="M997" s="82" t="str">
        <f>LEFT(Table1[[#This Row],[Tegevusala kood]],2)</f>
        <v>09</v>
      </c>
      <c r="N997" s="53" t="str">
        <f>VLOOKUP(Table1[[#This Row],[Tegevusala kood]],Table4[[Tegevusala kood]:[Tegevusala alanimetus]],2,FALSE)</f>
        <v>Laekvere Kool</v>
      </c>
      <c r="O997" s="42"/>
      <c r="P997" s="42"/>
      <c r="Q997" s="53" t="str">
        <f>VLOOKUP(Table1[[#This Row],[Eelarvekonto]],Table5[[Konto]:[Kontode alanimetus]],5,FALSE)</f>
        <v>Majandamiskulud</v>
      </c>
      <c r="R997" s="53" t="str">
        <f>VLOOKUP(Table1[[#This Row],[Tegevusala kood]],Table4[[Tegevusala kood]:[Tegevusala alanimetus]],4,FALSE)</f>
        <v>Põhihariduse otsekulud</v>
      </c>
      <c r="S997" s="53"/>
      <c r="T997" s="53"/>
      <c r="U997" s="53">
        <f>Table1[[#This Row],[Summa]]+Table1[[#This Row],[I Muudatus]]+Table1[[#This Row],[II Muudatus]]</f>
        <v>600</v>
      </c>
    </row>
    <row r="998" spans="1:21" ht="14.25" hidden="1" customHeight="1" x14ac:dyDescent="0.25">
      <c r="A998" s="42" t="s">
        <v>141</v>
      </c>
      <c r="B998" s="42">
        <v>350</v>
      </c>
      <c r="C998" s="53">
        <v>5525</v>
      </c>
      <c r="D998" s="53" t="str">
        <f>LEFT(Table1[[#This Row],[Eelarvekonto]],2)</f>
        <v>55</v>
      </c>
      <c r="E998" s="42" t="str">
        <f>VLOOKUP(Table1[[#This Row],[Eelarvekonto]],Table5[[Konto]:[Konto nimetus]],2,FALSE)</f>
        <v>Kommunikatsiooni-, kultuuri- ja vaba aja sisustamise kulud</v>
      </c>
      <c r="F998" s="42" t="s">
        <v>139</v>
      </c>
      <c r="G998" s="42" t="s">
        <v>24</v>
      </c>
      <c r="H998" s="42"/>
      <c r="I998" s="42"/>
      <c r="J998" s="42" t="s">
        <v>245</v>
      </c>
      <c r="K998" s="42" t="s">
        <v>244</v>
      </c>
      <c r="L998" s="81" t="s">
        <v>243</v>
      </c>
      <c r="M998" s="82" t="str">
        <f>LEFT(Table1[[#This Row],[Tegevusala kood]],2)</f>
        <v>08</v>
      </c>
      <c r="N998" s="53" t="str">
        <f>VLOOKUP(Table1[[#This Row],[Tegevusala kood]],Table4[[Tegevusala kood]:[Tegevusala alanimetus]],2,FALSE)</f>
        <v>Roela Raamatukogu</v>
      </c>
      <c r="O998" s="42"/>
      <c r="P998" s="42"/>
      <c r="Q998" s="53" t="str">
        <f>VLOOKUP(Table1[[#This Row],[Eelarvekonto]],Table5[[Konto]:[Kontode alanimetus]],5,FALSE)</f>
        <v>Majandamiskulud</v>
      </c>
      <c r="R998" s="53" t="str">
        <f>VLOOKUP(Table1[[#This Row],[Tegevusala kood]],Table4[[Tegevusala kood]:[Tegevusala alanimetus]],4,FALSE)</f>
        <v>Raamatukogud</v>
      </c>
      <c r="S998" s="53"/>
      <c r="T998" s="53"/>
      <c r="U998" s="53">
        <f>Table1[[#This Row],[Summa]]+Table1[[#This Row],[I Muudatus]]+Table1[[#This Row],[II Muudatus]]</f>
        <v>350</v>
      </c>
    </row>
    <row r="999" spans="1:21" ht="14.25" hidden="1" customHeight="1" x14ac:dyDescent="0.25">
      <c r="A999" s="42" t="s">
        <v>232</v>
      </c>
      <c r="B999" s="42">
        <v>4000</v>
      </c>
      <c r="C999" s="53">
        <v>5523</v>
      </c>
      <c r="D999" s="53" t="str">
        <f>LEFT(Table1[[#This Row],[Eelarvekonto]],2)</f>
        <v>55</v>
      </c>
      <c r="E999" s="42" t="str">
        <f>VLOOKUP(Table1[[#This Row],[Eelarvekonto]],Table5[[Konto]:[Konto nimetus]],2,FALSE)</f>
        <v>Teavikute ja kunstiesemete kulud</v>
      </c>
      <c r="F999" s="42" t="s">
        <v>139</v>
      </c>
      <c r="G999" s="42" t="s">
        <v>24</v>
      </c>
      <c r="H999" s="42"/>
      <c r="I999" s="42"/>
      <c r="J999" s="42" t="s">
        <v>245</v>
      </c>
      <c r="K999" s="42" t="s">
        <v>244</v>
      </c>
      <c r="L999" s="81" t="s">
        <v>243</v>
      </c>
      <c r="M999" s="82" t="str">
        <f>LEFT(Table1[[#This Row],[Tegevusala kood]],2)</f>
        <v>08</v>
      </c>
      <c r="N999" s="53" t="str">
        <f>VLOOKUP(Table1[[#This Row],[Tegevusala kood]],Table4[[Tegevusala kood]:[Tegevusala alanimetus]],2,FALSE)</f>
        <v>Roela Raamatukogu</v>
      </c>
      <c r="O999" s="42"/>
      <c r="P999" s="42"/>
      <c r="Q999" s="53" t="str">
        <f>VLOOKUP(Table1[[#This Row],[Eelarvekonto]],Table5[[Konto]:[Kontode alanimetus]],5,FALSE)</f>
        <v>Majandamiskulud</v>
      </c>
      <c r="R999" s="53" t="str">
        <f>VLOOKUP(Table1[[#This Row],[Tegevusala kood]],Table4[[Tegevusala kood]:[Tegevusala alanimetus]],4,FALSE)</f>
        <v>Raamatukogud</v>
      </c>
      <c r="S999" s="53"/>
      <c r="T999" s="53"/>
      <c r="U999" s="53">
        <f>Table1[[#This Row],[Summa]]+Table1[[#This Row],[I Muudatus]]+Table1[[#This Row],[II Muudatus]]</f>
        <v>4000</v>
      </c>
    </row>
    <row r="1000" spans="1:21" ht="14.25" hidden="1" customHeight="1" x14ac:dyDescent="0.25">
      <c r="A1000" s="42" t="s">
        <v>151</v>
      </c>
      <c r="B1000" s="42">
        <v>46</v>
      </c>
      <c r="C1000" s="53">
        <v>5522</v>
      </c>
      <c r="D1000" s="53" t="str">
        <f>LEFT(Table1[[#This Row],[Eelarvekonto]],2)</f>
        <v>55</v>
      </c>
      <c r="E1000" s="42" t="str">
        <f>VLOOKUP(Table1[[#This Row],[Eelarvekonto]],Table5[[Konto]:[Konto nimetus]],2,FALSE)</f>
        <v>Meditsiinikulud ja hügieenikulud</v>
      </c>
      <c r="F1000" s="42" t="s">
        <v>139</v>
      </c>
      <c r="G1000" s="42" t="s">
        <v>24</v>
      </c>
      <c r="H1000" s="42"/>
      <c r="I1000" s="42"/>
      <c r="J1000" s="42" t="s">
        <v>245</v>
      </c>
      <c r="K1000" s="42" t="s">
        <v>244</v>
      </c>
      <c r="L1000" s="81" t="s">
        <v>243</v>
      </c>
      <c r="M1000" s="82" t="str">
        <f>LEFT(Table1[[#This Row],[Tegevusala kood]],2)</f>
        <v>08</v>
      </c>
      <c r="N1000" s="53" t="str">
        <f>VLOOKUP(Table1[[#This Row],[Tegevusala kood]],Table4[[Tegevusala kood]:[Tegevusala alanimetus]],2,FALSE)</f>
        <v>Roela Raamatukogu</v>
      </c>
      <c r="O1000" s="42"/>
      <c r="P1000" s="42"/>
      <c r="Q1000" s="53" t="str">
        <f>VLOOKUP(Table1[[#This Row],[Eelarvekonto]],Table5[[Konto]:[Kontode alanimetus]],5,FALSE)</f>
        <v>Majandamiskulud</v>
      </c>
      <c r="R1000" s="53" t="str">
        <f>VLOOKUP(Table1[[#This Row],[Tegevusala kood]],Table4[[Tegevusala kood]:[Tegevusala alanimetus]],4,FALSE)</f>
        <v>Raamatukogud</v>
      </c>
      <c r="S1000" s="53"/>
      <c r="T1000" s="53"/>
      <c r="U1000" s="53">
        <f>Table1[[#This Row],[Summa]]+Table1[[#This Row],[I Muudatus]]+Table1[[#This Row],[II Muudatus]]</f>
        <v>46</v>
      </c>
    </row>
    <row r="1001" spans="1:21" ht="14.25" hidden="1" customHeight="1" x14ac:dyDescent="0.25">
      <c r="A1001" s="42" t="s">
        <v>161</v>
      </c>
      <c r="B1001" s="42">
        <v>300</v>
      </c>
      <c r="C1001" s="53">
        <v>5515</v>
      </c>
      <c r="D1001" s="53" t="str">
        <f>LEFT(Table1[[#This Row],[Eelarvekonto]],2)</f>
        <v>55</v>
      </c>
      <c r="E1001" s="42" t="str">
        <f>VLOOKUP(Table1[[#This Row],[Eelarvekonto]],Table5[[Konto]:[Konto nimetus]],2,FALSE)</f>
        <v>Inventari majandamiskulud</v>
      </c>
      <c r="F1001" s="42" t="s">
        <v>139</v>
      </c>
      <c r="G1001" s="42" t="s">
        <v>24</v>
      </c>
      <c r="H1001" s="42"/>
      <c r="I1001" s="42"/>
      <c r="J1001" s="42" t="s">
        <v>245</v>
      </c>
      <c r="K1001" s="42" t="s">
        <v>244</v>
      </c>
      <c r="L1001" s="81" t="s">
        <v>243</v>
      </c>
      <c r="M1001" s="82" t="str">
        <f>LEFT(Table1[[#This Row],[Tegevusala kood]],2)</f>
        <v>08</v>
      </c>
      <c r="N1001" s="53" t="str">
        <f>VLOOKUP(Table1[[#This Row],[Tegevusala kood]],Table4[[Tegevusala kood]:[Tegevusala alanimetus]],2,FALSE)</f>
        <v>Roela Raamatukogu</v>
      </c>
      <c r="O1001" s="42"/>
      <c r="P1001" s="42"/>
      <c r="Q1001" s="53" t="str">
        <f>VLOOKUP(Table1[[#This Row],[Eelarvekonto]],Table5[[Konto]:[Kontode alanimetus]],5,FALSE)</f>
        <v>Majandamiskulud</v>
      </c>
      <c r="R1001" s="53" t="str">
        <f>VLOOKUP(Table1[[#This Row],[Tegevusala kood]],Table4[[Tegevusala kood]:[Tegevusala alanimetus]],4,FALSE)</f>
        <v>Raamatukogud</v>
      </c>
      <c r="S1001" s="53"/>
      <c r="T1001" s="53"/>
      <c r="U1001" s="53">
        <f>Table1[[#This Row],[Summa]]+Table1[[#This Row],[I Muudatus]]+Table1[[#This Row],[II Muudatus]]</f>
        <v>300</v>
      </c>
    </row>
    <row r="1002" spans="1:21" ht="14.25" hidden="1" customHeight="1" x14ac:dyDescent="0.25">
      <c r="A1002" s="42" t="s">
        <v>142</v>
      </c>
      <c r="B1002" s="42">
        <v>300</v>
      </c>
      <c r="C1002" s="53">
        <v>5511</v>
      </c>
      <c r="D1002" s="53" t="str">
        <f>LEFT(Table1[[#This Row],[Eelarvekonto]],2)</f>
        <v>55</v>
      </c>
      <c r="E1002" s="42" t="str">
        <f>VLOOKUP(Table1[[#This Row],[Eelarvekonto]],Table5[[Konto]:[Konto nimetus]],2,FALSE)</f>
        <v>Kinnistute, hoonete ja ruumide majandamiskulud</v>
      </c>
      <c r="F1002" s="42" t="s">
        <v>139</v>
      </c>
      <c r="G1002" s="42" t="s">
        <v>24</v>
      </c>
      <c r="H1002" s="42"/>
      <c r="I1002" s="42"/>
      <c r="J1002" s="42" t="s">
        <v>245</v>
      </c>
      <c r="K1002" s="42" t="s">
        <v>244</v>
      </c>
      <c r="L1002" s="81" t="s">
        <v>243</v>
      </c>
      <c r="M1002" s="82" t="str">
        <f>LEFT(Table1[[#This Row],[Tegevusala kood]],2)</f>
        <v>08</v>
      </c>
      <c r="N1002" s="53" t="str">
        <f>VLOOKUP(Table1[[#This Row],[Tegevusala kood]],Table4[[Tegevusala kood]:[Tegevusala alanimetus]],2,FALSE)</f>
        <v>Roela Raamatukogu</v>
      </c>
      <c r="O1002" s="42"/>
      <c r="P1002" s="42"/>
      <c r="Q1002" s="53" t="str">
        <f>VLOOKUP(Table1[[#This Row],[Eelarvekonto]],Table5[[Konto]:[Kontode alanimetus]],5,FALSE)</f>
        <v>Majandamiskulud</v>
      </c>
      <c r="R1002" s="53" t="str">
        <f>VLOOKUP(Table1[[#This Row],[Tegevusala kood]],Table4[[Tegevusala kood]:[Tegevusala alanimetus]],4,FALSE)</f>
        <v>Raamatukogud</v>
      </c>
      <c r="S1002" s="53"/>
      <c r="T1002" s="53"/>
      <c r="U1002" s="53">
        <f>Table1[[#This Row],[Summa]]+Table1[[#This Row],[I Muudatus]]+Table1[[#This Row],[II Muudatus]]</f>
        <v>300</v>
      </c>
    </row>
    <row r="1003" spans="1:21" ht="14.25" hidden="1" customHeight="1" x14ac:dyDescent="0.25">
      <c r="A1003" s="42" t="s">
        <v>140</v>
      </c>
      <c r="B1003" s="42">
        <v>350</v>
      </c>
      <c r="C1003" s="53">
        <v>5504</v>
      </c>
      <c r="D1003" s="53" t="str">
        <f>LEFT(Table1[[#This Row],[Eelarvekonto]],2)</f>
        <v>55</v>
      </c>
      <c r="E1003" s="42" t="str">
        <f>VLOOKUP(Table1[[#This Row],[Eelarvekonto]],Table5[[Konto]:[Konto nimetus]],2,FALSE)</f>
        <v>Koolituskulud (sh koolituslähetus)</v>
      </c>
      <c r="F1003" s="42" t="s">
        <v>139</v>
      </c>
      <c r="G1003" s="42" t="s">
        <v>24</v>
      </c>
      <c r="H1003" s="42"/>
      <c r="I1003" s="42"/>
      <c r="J1003" s="42" t="s">
        <v>245</v>
      </c>
      <c r="K1003" s="42" t="s">
        <v>244</v>
      </c>
      <c r="L1003" s="81" t="s">
        <v>243</v>
      </c>
      <c r="M1003" s="82" t="str">
        <f>LEFT(Table1[[#This Row],[Tegevusala kood]],2)</f>
        <v>08</v>
      </c>
      <c r="N1003" s="53" t="str">
        <f>VLOOKUP(Table1[[#This Row],[Tegevusala kood]],Table4[[Tegevusala kood]:[Tegevusala alanimetus]],2,FALSE)</f>
        <v>Roela Raamatukogu</v>
      </c>
      <c r="O1003" s="42"/>
      <c r="P1003" s="42"/>
      <c r="Q1003" s="53" t="str">
        <f>VLOOKUP(Table1[[#This Row],[Eelarvekonto]],Table5[[Konto]:[Kontode alanimetus]],5,FALSE)</f>
        <v>Majandamiskulud</v>
      </c>
      <c r="R1003" s="53" t="str">
        <f>VLOOKUP(Table1[[#This Row],[Tegevusala kood]],Table4[[Tegevusala kood]:[Tegevusala alanimetus]],4,FALSE)</f>
        <v>Raamatukogud</v>
      </c>
      <c r="S1003" s="53"/>
      <c r="T1003" s="53"/>
      <c r="U1003" s="53">
        <f>Table1[[#This Row],[Summa]]+Table1[[#This Row],[I Muudatus]]+Table1[[#This Row],[II Muudatus]]</f>
        <v>350</v>
      </c>
    </row>
    <row r="1004" spans="1:21" ht="14.25" hidden="1" customHeight="1" x14ac:dyDescent="0.25">
      <c r="A1004" s="42" t="s">
        <v>144</v>
      </c>
      <c r="B1004" s="42">
        <v>1.1000000000000001</v>
      </c>
      <c r="C1004" s="53">
        <v>5500</v>
      </c>
      <c r="D1004" s="53" t="str">
        <f>LEFT(Table1[[#This Row],[Eelarvekonto]],2)</f>
        <v>55</v>
      </c>
      <c r="E1004" s="42" t="str">
        <f>VLOOKUP(Table1[[#This Row],[Eelarvekonto]],Table5[[Konto]:[Konto nimetus]],2,FALSE)</f>
        <v>Administreerimiskulud</v>
      </c>
      <c r="F1004" s="42" t="s">
        <v>139</v>
      </c>
      <c r="G1004" s="42" t="s">
        <v>24</v>
      </c>
      <c r="H1004" s="42"/>
      <c r="I1004" s="42"/>
      <c r="J1004" s="42" t="s">
        <v>245</v>
      </c>
      <c r="K1004" s="42" t="s">
        <v>244</v>
      </c>
      <c r="L1004" s="81" t="s">
        <v>243</v>
      </c>
      <c r="M1004" s="82" t="str">
        <f>LEFT(Table1[[#This Row],[Tegevusala kood]],2)</f>
        <v>08</v>
      </c>
      <c r="N1004" s="53" t="str">
        <f>VLOOKUP(Table1[[#This Row],[Tegevusala kood]],Table4[[Tegevusala kood]:[Tegevusala alanimetus]],2,FALSE)</f>
        <v>Roela Raamatukogu</v>
      </c>
      <c r="O1004" s="42"/>
      <c r="P1004" s="42"/>
      <c r="Q1004" s="53" t="str">
        <f>VLOOKUP(Table1[[#This Row],[Eelarvekonto]],Table5[[Konto]:[Kontode alanimetus]],5,FALSE)</f>
        <v>Majandamiskulud</v>
      </c>
      <c r="R1004" s="53" t="str">
        <f>VLOOKUP(Table1[[#This Row],[Tegevusala kood]],Table4[[Tegevusala kood]:[Tegevusala alanimetus]],4,FALSE)</f>
        <v>Raamatukogud</v>
      </c>
      <c r="S1004" s="53"/>
      <c r="T1004" s="53"/>
      <c r="U1004" s="53">
        <f>Table1[[#This Row],[Summa]]+Table1[[#This Row],[I Muudatus]]+Table1[[#This Row],[II Muudatus]]</f>
        <v>1.1000000000000001</v>
      </c>
    </row>
    <row r="1005" spans="1:21" ht="14.25" hidden="1" customHeight="1" x14ac:dyDescent="0.25">
      <c r="A1005" s="42" t="s">
        <v>1242</v>
      </c>
      <c r="B1005" s="42">
        <v>21000</v>
      </c>
      <c r="C1005" s="53">
        <v>551100</v>
      </c>
      <c r="D1005" s="53" t="str">
        <f>LEFT(Table1[[#This Row],[Eelarvekonto]],2)</f>
        <v>55</v>
      </c>
      <c r="E1005" s="42" t="str">
        <f>VLOOKUP(Table1[[#This Row],[Eelarvekonto]],Table5[[Konto]:[Konto nimetus]],2,FALSE)</f>
        <v>Küte ja soojusenergia</v>
      </c>
      <c r="F1005" s="42" t="s">
        <v>139</v>
      </c>
      <c r="G1005" s="42" t="s">
        <v>24</v>
      </c>
      <c r="H1005" s="42"/>
      <c r="I1005" s="42"/>
      <c r="J1005" s="42" t="s">
        <v>320</v>
      </c>
      <c r="K1005" s="42" t="s">
        <v>80</v>
      </c>
      <c r="L1005" s="81" t="s">
        <v>319</v>
      </c>
      <c r="M1005" s="82" t="str">
        <f>LEFT(Table1[[#This Row],[Tegevusala kood]],2)</f>
        <v>06</v>
      </c>
      <c r="N1005" s="53" t="str">
        <f>VLOOKUP(Table1[[#This Row],[Tegevusala kood]],Table4[[Tegevusala kood]:[Tegevusala alanimetus]],2,FALSE)</f>
        <v>Roela, Tudu, Viru-Jaagupi teeninduspiirkond</v>
      </c>
      <c r="O1005" s="42"/>
      <c r="P1005" s="42"/>
      <c r="Q1005" s="53" t="str">
        <f>VLOOKUP(Table1[[#This Row],[Eelarvekonto]],Table5[[Konto]:[Kontode alanimetus]],5,FALSE)</f>
        <v>Majandamiskulud</v>
      </c>
      <c r="R1005" s="53" t="str">
        <f>VLOOKUP(Table1[[#This Row],[Tegevusala kood]],Table4[[Tegevusala kood]:[Tegevusala alanimetus]],4,FALSE)</f>
        <v>Muu elamu- ja kommunaalmajanduse tegevus</v>
      </c>
      <c r="S1005" s="53"/>
      <c r="T1005" s="53"/>
      <c r="U1005" s="53">
        <f>Table1[[#This Row],[Summa]]+Table1[[#This Row],[I Muudatus]]+Table1[[#This Row],[II Muudatus]]</f>
        <v>21000</v>
      </c>
    </row>
    <row r="1006" spans="1:21" ht="14.25" hidden="1" customHeight="1" x14ac:dyDescent="0.25">
      <c r="A1006" s="42" t="s">
        <v>140</v>
      </c>
      <c r="B1006" s="42">
        <v>300</v>
      </c>
      <c r="C1006" s="53">
        <v>5504</v>
      </c>
      <c r="D1006" s="53" t="str">
        <f>LEFT(Table1[[#This Row],[Eelarvekonto]],2)</f>
        <v>55</v>
      </c>
      <c r="E1006" s="42" t="str">
        <f>VLOOKUP(Table1[[#This Row],[Eelarvekonto]],Table5[[Konto]:[Konto nimetus]],2,FALSE)</f>
        <v>Koolituskulud (sh koolituslähetus)</v>
      </c>
      <c r="F1006" s="42" t="s">
        <v>139</v>
      </c>
      <c r="G1006" s="42" t="s">
        <v>24</v>
      </c>
      <c r="H1006" s="42"/>
      <c r="I1006" s="42"/>
      <c r="J1006" s="42" t="s">
        <v>320</v>
      </c>
      <c r="K1006" s="42" t="s">
        <v>80</v>
      </c>
      <c r="L1006" s="81" t="s">
        <v>319</v>
      </c>
      <c r="M1006" s="82" t="str">
        <f>LEFT(Table1[[#This Row],[Tegevusala kood]],2)</f>
        <v>06</v>
      </c>
      <c r="N1006" s="53" t="str">
        <f>VLOOKUP(Table1[[#This Row],[Tegevusala kood]],Table4[[Tegevusala kood]:[Tegevusala alanimetus]],2,FALSE)</f>
        <v>Roela, Tudu, Viru-Jaagupi teeninduspiirkond</v>
      </c>
      <c r="O1006" s="42"/>
      <c r="P1006" s="42"/>
      <c r="Q1006" s="53" t="str">
        <f>VLOOKUP(Table1[[#This Row],[Eelarvekonto]],Table5[[Konto]:[Kontode alanimetus]],5,FALSE)</f>
        <v>Majandamiskulud</v>
      </c>
      <c r="R1006" s="53" t="str">
        <f>VLOOKUP(Table1[[#This Row],[Tegevusala kood]],Table4[[Tegevusala kood]:[Tegevusala alanimetus]],4,FALSE)</f>
        <v>Muu elamu- ja kommunaalmajanduse tegevus</v>
      </c>
      <c r="S1006" s="53"/>
      <c r="T1006" s="53"/>
      <c r="U1006" s="53">
        <f>Table1[[#This Row],[Summa]]+Table1[[#This Row],[I Muudatus]]+Table1[[#This Row],[II Muudatus]]</f>
        <v>300</v>
      </c>
    </row>
    <row r="1007" spans="1:21" ht="14.25" hidden="1" customHeight="1" x14ac:dyDescent="0.25">
      <c r="A1007" s="42" t="s">
        <v>1243</v>
      </c>
      <c r="B1007" s="42">
        <v>800</v>
      </c>
      <c r="C1007" s="53">
        <v>5002</v>
      </c>
      <c r="D1007" s="53" t="str">
        <f>LEFT(Table1[[#This Row],[Eelarvekonto]],2)</f>
        <v>50</v>
      </c>
      <c r="E1007" s="42" t="str">
        <f>VLOOKUP(Table1[[#This Row],[Eelarvekonto]],Table5[[Konto]:[Konto nimetus]],2,FALSE)</f>
        <v>Töötajate töötasud</v>
      </c>
      <c r="F1007" s="42" t="s">
        <v>139</v>
      </c>
      <c r="G1007" s="42" t="s">
        <v>24</v>
      </c>
      <c r="H1007" s="42"/>
      <c r="I1007" s="42"/>
      <c r="J1007" s="42" t="s">
        <v>320</v>
      </c>
      <c r="K1007" s="42" t="s">
        <v>80</v>
      </c>
      <c r="L1007" s="81" t="s">
        <v>319</v>
      </c>
      <c r="M1007" s="82" t="str">
        <f>LEFT(Table1[[#This Row],[Tegevusala kood]],2)</f>
        <v>06</v>
      </c>
      <c r="N1007" s="53" t="str">
        <f>VLOOKUP(Table1[[#This Row],[Tegevusala kood]],Table4[[Tegevusala kood]:[Tegevusala alanimetus]],2,FALSE)</f>
        <v>Roela, Tudu, Viru-Jaagupi teeninduspiirkond</v>
      </c>
      <c r="O1007" s="42"/>
      <c r="P1007" s="42"/>
      <c r="Q1007" s="53" t="str">
        <f>VLOOKUP(Table1[[#This Row],[Eelarvekonto]],Table5[[Konto]:[Kontode alanimetus]],5,FALSE)</f>
        <v>Tööjõukulud</v>
      </c>
      <c r="R1007" s="53" t="str">
        <f>VLOOKUP(Table1[[#This Row],[Tegevusala kood]],Table4[[Tegevusala kood]:[Tegevusala alanimetus]],4,FALSE)</f>
        <v>Muu elamu- ja kommunaalmajanduse tegevus</v>
      </c>
      <c r="S1007" s="53"/>
      <c r="T1007" s="53"/>
      <c r="U1007" s="53">
        <f>Table1[[#This Row],[Summa]]+Table1[[#This Row],[I Muudatus]]+Table1[[#This Row],[II Muudatus]]</f>
        <v>800</v>
      </c>
    </row>
    <row r="1008" spans="1:21" ht="14.25" hidden="1" customHeight="1" x14ac:dyDescent="0.25">
      <c r="A1008" s="42" t="s">
        <v>326</v>
      </c>
      <c r="B1008" s="42">
        <v>1000</v>
      </c>
      <c r="C1008" s="53">
        <v>5511</v>
      </c>
      <c r="D1008" s="53" t="str">
        <f>LEFT(Table1[[#This Row],[Eelarvekonto]],2)</f>
        <v>55</v>
      </c>
      <c r="E1008" s="42" t="str">
        <f>VLOOKUP(Table1[[#This Row],[Eelarvekonto]],Table5[[Konto]:[Konto nimetus]],2,FALSE)</f>
        <v>Kinnistute, hoonete ja ruumide majandamiskulud</v>
      </c>
      <c r="F1008" s="42" t="s">
        <v>139</v>
      </c>
      <c r="G1008" s="42" t="s">
        <v>24</v>
      </c>
      <c r="H1008" s="42"/>
      <c r="I1008" s="42"/>
      <c r="J1008" s="42" t="s">
        <v>320</v>
      </c>
      <c r="K1008" s="42" t="s">
        <v>80</v>
      </c>
      <c r="L1008" s="81" t="s">
        <v>319</v>
      </c>
      <c r="M1008" s="82" t="str">
        <f>LEFT(Table1[[#This Row],[Tegevusala kood]],2)</f>
        <v>06</v>
      </c>
      <c r="N1008" s="53" t="str">
        <f>VLOOKUP(Table1[[#This Row],[Tegevusala kood]],Table4[[Tegevusala kood]:[Tegevusala alanimetus]],2,FALSE)</f>
        <v>Roela, Tudu, Viru-Jaagupi teeninduspiirkond</v>
      </c>
      <c r="O1008" s="42"/>
      <c r="P1008" s="42"/>
      <c r="Q1008" s="53" t="str">
        <f>VLOOKUP(Table1[[#This Row],[Eelarvekonto]],Table5[[Konto]:[Kontode alanimetus]],5,FALSE)</f>
        <v>Majandamiskulud</v>
      </c>
      <c r="R1008" s="53" t="str">
        <f>VLOOKUP(Table1[[#This Row],[Tegevusala kood]],Table4[[Tegevusala kood]:[Tegevusala alanimetus]],4,FALSE)</f>
        <v>Muu elamu- ja kommunaalmajanduse tegevus</v>
      </c>
      <c r="S1008" s="53"/>
      <c r="T1008" s="53"/>
      <c r="U1008" s="53">
        <f>Table1[[#This Row],[Summa]]+Table1[[#This Row],[I Muudatus]]+Table1[[#This Row],[II Muudatus]]</f>
        <v>1000</v>
      </c>
    </row>
    <row r="1009" spans="1:21" ht="14.25" hidden="1" customHeight="1" x14ac:dyDescent="0.25">
      <c r="A1009" s="42" t="s">
        <v>194</v>
      </c>
      <c r="B1009" s="42">
        <v>14000</v>
      </c>
      <c r="C1009" s="53">
        <v>5511</v>
      </c>
      <c r="D1009" s="53" t="str">
        <f>LEFT(Table1[[#This Row],[Eelarvekonto]],2)</f>
        <v>55</v>
      </c>
      <c r="E1009" s="42" t="str">
        <f>VLOOKUP(Table1[[#This Row],[Eelarvekonto]],Table5[[Konto]:[Konto nimetus]],2,FALSE)</f>
        <v>Kinnistute, hoonete ja ruumide majandamiskulud</v>
      </c>
      <c r="F1009" s="42" t="s">
        <v>139</v>
      </c>
      <c r="G1009" s="42" t="s">
        <v>24</v>
      </c>
      <c r="H1009" s="42"/>
      <c r="I1009" s="42"/>
      <c r="J1009" s="42" t="s">
        <v>320</v>
      </c>
      <c r="K1009" s="42" t="s">
        <v>80</v>
      </c>
      <c r="L1009" s="81" t="s">
        <v>319</v>
      </c>
      <c r="M1009" s="82" t="str">
        <f>LEFT(Table1[[#This Row],[Tegevusala kood]],2)</f>
        <v>06</v>
      </c>
      <c r="N1009" s="53" t="str">
        <f>VLOOKUP(Table1[[#This Row],[Tegevusala kood]],Table4[[Tegevusala kood]:[Tegevusala alanimetus]],2,FALSE)</f>
        <v>Roela, Tudu, Viru-Jaagupi teeninduspiirkond</v>
      </c>
      <c r="O1009" s="42"/>
      <c r="P1009" s="42"/>
      <c r="Q1009" s="53" t="str">
        <f>VLOOKUP(Table1[[#This Row],[Eelarvekonto]],Table5[[Konto]:[Kontode alanimetus]],5,FALSE)</f>
        <v>Majandamiskulud</v>
      </c>
      <c r="R1009" s="53" t="str">
        <f>VLOOKUP(Table1[[#This Row],[Tegevusala kood]],Table4[[Tegevusala kood]:[Tegevusala alanimetus]],4,FALSE)</f>
        <v>Muu elamu- ja kommunaalmajanduse tegevus</v>
      </c>
      <c r="S1009" s="53"/>
      <c r="T1009" s="53"/>
      <c r="U1009" s="53">
        <f>Table1[[#This Row],[Summa]]+Table1[[#This Row],[I Muudatus]]+Table1[[#This Row],[II Muudatus]]</f>
        <v>14000</v>
      </c>
    </row>
    <row r="1010" spans="1:21" ht="14.25" hidden="1" customHeight="1" x14ac:dyDescent="0.25">
      <c r="A1010" s="42" t="s">
        <v>324</v>
      </c>
      <c r="B1010" s="42">
        <v>1500</v>
      </c>
      <c r="C1010" s="53">
        <v>5511</v>
      </c>
      <c r="D1010" s="53" t="str">
        <f>LEFT(Table1[[#This Row],[Eelarvekonto]],2)</f>
        <v>55</v>
      </c>
      <c r="E1010" s="42" t="str">
        <f>VLOOKUP(Table1[[#This Row],[Eelarvekonto]],Table5[[Konto]:[Konto nimetus]],2,FALSE)</f>
        <v>Kinnistute, hoonete ja ruumide majandamiskulud</v>
      </c>
      <c r="F1010" s="42" t="s">
        <v>139</v>
      </c>
      <c r="G1010" s="42" t="s">
        <v>24</v>
      </c>
      <c r="H1010" s="42"/>
      <c r="I1010" s="42"/>
      <c r="J1010" s="42" t="s">
        <v>320</v>
      </c>
      <c r="K1010" s="42" t="s">
        <v>80</v>
      </c>
      <c r="L1010" s="81" t="s">
        <v>319</v>
      </c>
      <c r="M1010" s="82" t="str">
        <f>LEFT(Table1[[#This Row],[Tegevusala kood]],2)</f>
        <v>06</v>
      </c>
      <c r="N1010" s="53" t="str">
        <f>VLOOKUP(Table1[[#This Row],[Tegevusala kood]],Table4[[Tegevusala kood]:[Tegevusala alanimetus]],2,FALSE)</f>
        <v>Roela, Tudu, Viru-Jaagupi teeninduspiirkond</v>
      </c>
      <c r="O1010" s="42"/>
      <c r="P1010" s="42"/>
      <c r="Q1010" s="53" t="str">
        <f>VLOOKUP(Table1[[#This Row],[Eelarvekonto]],Table5[[Konto]:[Kontode alanimetus]],5,FALSE)</f>
        <v>Majandamiskulud</v>
      </c>
      <c r="R1010" s="53" t="str">
        <f>VLOOKUP(Table1[[#This Row],[Tegevusala kood]],Table4[[Tegevusala kood]:[Tegevusala alanimetus]],4,FALSE)</f>
        <v>Muu elamu- ja kommunaalmajanduse tegevus</v>
      </c>
      <c r="S1010" s="53"/>
      <c r="T1010" s="53"/>
      <c r="U1010" s="53">
        <f>Table1[[#This Row],[Summa]]+Table1[[#This Row],[I Muudatus]]+Table1[[#This Row],[II Muudatus]]</f>
        <v>1500</v>
      </c>
    </row>
    <row r="1011" spans="1:21" ht="14.25" hidden="1" customHeight="1" x14ac:dyDescent="0.25">
      <c r="A1011" s="42" t="s">
        <v>321</v>
      </c>
      <c r="B1011" s="42">
        <v>12500</v>
      </c>
      <c r="C1011" s="53">
        <v>5511</v>
      </c>
      <c r="D1011" s="53" t="str">
        <f>LEFT(Table1[[#This Row],[Eelarvekonto]],2)</f>
        <v>55</v>
      </c>
      <c r="E1011" s="42" t="str">
        <f>VLOOKUP(Table1[[#This Row],[Eelarvekonto]],Table5[[Konto]:[Konto nimetus]],2,FALSE)</f>
        <v>Kinnistute, hoonete ja ruumide majandamiskulud</v>
      </c>
      <c r="F1011" s="42" t="s">
        <v>139</v>
      </c>
      <c r="G1011" s="42" t="s">
        <v>24</v>
      </c>
      <c r="H1011" s="42"/>
      <c r="I1011" s="42"/>
      <c r="J1011" s="42" t="s">
        <v>320</v>
      </c>
      <c r="K1011" s="42" t="s">
        <v>80</v>
      </c>
      <c r="L1011" s="81" t="s">
        <v>319</v>
      </c>
      <c r="M1011" s="82" t="str">
        <f>LEFT(Table1[[#This Row],[Tegevusala kood]],2)</f>
        <v>06</v>
      </c>
      <c r="N1011" s="53" t="str">
        <f>VLOOKUP(Table1[[#This Row],[Tegevusala kood]],Table4[[Tegevusala kood]:[Tegevusala alanimetus]],2,FALSE)</f>
        <v>Roela, Tudu, Viru-Jaagupi teeninduspiirkond</v>
      </c>
      <c r="O1011" s="42"/>
      <c r="P1011" s="42"/>
      <c r="Q1011" s="53" t="str">
        <f>VLOOKUP(Table1[[#This Row],[Eelarvekonto]],Table5[[Konto]:[Kontode alanimetus]],5,FALSE)</f>
        <v>Majandamiskulud</v>
      </c>
      <c r="R1011" s="53" t="str">
        <f>VLOOKUP(Table1[[#This Row],[Tegevusala kood]],Table4[[Tegevusala kood]:[Tegevusala alanimetus]],4,FALSE)</f>
        <v>Muu elamu- ja kommunaalmajanduse tegevus</v>
      </c>
      <c r="S1011" s="53"/>
      <c r="T1011" s="53"/>
      <c r="U1011" s="53">
        <f>Table1[[#This Row],[Summa]]+Table1[[#This Row],[I Muudatus]]+Table1[[#This Row],[II Muudatus]]</f>
        <v>12500</v>
      </c>
    </row>
    <row r="1012" spans="1:21" ht="14.25" hidden="1" customHeight="1" x14ac:dyDescent="0.25">
      <c r="A1012" s="42" t="s">
        <v>323</v>
      </c>
      <c r="B1012" s="42">
        <v>250</v>
      </c>
      <c r="C1012" s="53">
        <v>5511</v>
      </c>
      <c r="D1012" s="53" t="str">
        <f>LEFT(Table1[[#This Row],[Eelarvekonto]],2)</f>
        <v>55</v>
      </c>
      <c r="E1012" s="42" t="str">
        <f>VLOOKUP(Table1[[#This Row],[Eelarvekonto]],Table5[[Konto]:[Konto nimetus]],2,FALSE)</f>
        <v>Kinnistute, hoonete ja ruumide majandamiskulud</v>
      </c>
      <c r="F1012" s="42" t="s">
        <v>139</v>
      </c>
      <c r="G1012" s="42" t="s">
        <v>24</v>
      </c>
      <c r="H1012" s="42"/>
      <c r="I1012" s="42"/>
      <c r="J1012" s="42" t="s">
        <v>320</v>
      </c>
      <c r="K1012" s="42" t="s">
        <v>80</v>
      </c>
      <c r="L1012" s="81" t="s">
        <v>319</v>
      </c>
      <c r="M1012" s="82" t="str">
        <f>LEFT(Table1[[#This Row],[Tegevusala kood]],2)</f>
        <v>06</v>
      </c>
      <c r="N1012" s="53" t="str">
        <f>VLOOKUP(Table1[[#This Row],[Tegevusala kood]],Table4[[Tegevusala kood]:[Tegevusala alanimetus]],2,FALSE)</f>
        <v>Roela, Tudu, Viru-Jaagupi teeninduspiirkond</v>
      </c>
      <c r="O1012" s="42"/>
      <c r="P1012" s="42"/>
      <c r="Q1012" s="53" t="str">
        <f>VLOOKUP(Table1[[#This Row],[Eelarvekonto]],Table5[[Konto]:[Kontode alanimetus]],5,FALSE)</f>
        <v>Majandamiskulud</v>
      </c>
      <c r="R1012" s="53" t="str">
        <f>VLOOKUP(Table1[[#This Row],[Tegevusala kood]],Table4[[Tegevusala kood]:[Tegevusala alanimetus]],4,FALSE)</f>
        <v>Muu elamu- ja kommunaalmajanduse tegevus</v>
      </c>
      <c r="S1012" s="53"/>
      <c r="T1012" s="53"/>
      <c r="U1012" s="53">
        <f>Table1[[#This Row],[Summa]]+Table1[[#This Row],[I Muudatus]]+Table1[[#This Row],[II Muudatus]]</f>
        <v>250</v>
      </c>
    </row>
    <row r="1013" spans="1:21" ht="14.25" hidden="1" customHeight="1" x14ac:dyDescent="0.25">
      <c r="A1013" s="42" t="s">
        <v>315</v>
      </c>
      <c r="B1013" s="42">
        <v>600</v>
      </c>
      <c r="C1013" s="53">
        <v>5511</v>
      </c>
      <c r="D1013" s="53" t="str">
        <f>LEFT(Table1[[#This Row],[Eelarvekonto]],2)</f>
        <v>55</v>
      </c>
      <c r="E1013" s="42" t="str">
        <f>VLOOKUP(Table1[[#This Row],[Eelarvekonto]],Table5[[Konto]:[Konto nimetus]],2,FALSE)</f>
        <v>Kinnistute, hoonete ja ruumide majandamiskulud</v>
      </c>
      <c r="F1013" s="42" t="s">
        <v>139</v>
      </c>
      <c r="G1013" s="42" t="s">
        <v>24</v>
      </c>
      <c r="H1013" s="42"/>
      <c r="I1013" s="42"/>
      <c r="J1013" s="42" t="s">
        <v>320</v>
      </c>
      <c r="K1013" s="42" t="s">
        <v>80</v>
      </c>
      <c r="L1013" s="81" t="s">
        <v>319</v>
      </c>
      <c r="M1013" s="82" t="str">
        <f>LEFT(Table1[[#This Row],[Tegevusala kood]],2)</f>
        <v>06</v>
      </c>
      <c r="N1013" s="53" t="str">
        <f>VLOOKUP(Table1[[#This Row],[Tegevusala kood]],Table4[[Tegevusala kood]:[Tegevusala alanimetus]],2,FALSE)</f>
        <v>Roela, Tudu, Viru-Jaagupi teeninduspiirkond</v>
      </c>
      <c r="O1013" s="42"/>
      <c r="P1013" s="42"/>
      <c r="Q1013" s="53" t="str">
        <f>VLOOKUP(Table1[[#This Row],[Eelarvekonto]],Table5[[Konto]:[Kontode alanimetus]],5,FALSE)</f>
        <v>Majandamiskulud</v>
      </c>
      <c r="R1013" s="53" t="str">
        <f>VLOOKUP(Table1[[#This Row],[Tegevusala kood]],Table4[[Tegevusala kood]:[Tegevusala alanimetus]],4,FALSE)</f>
        <v>Muu elamu- ja kommunaalmajanduse tegevus</v>
      </c>
      <c r="S1013" s="53"/>
      <c r="T1013" s="53"/>
      <c r="U1013" s="53">
        <f>Table1[[#This Row],[Summa]]+Table1[[#This Row],[I Muudatus]]+Table1[[#This Row],[II Muudatus]]</f>
        <v>600</v>
      </c>
    </row>
    <row r="1014" spans="1:21" ht="14.25" hidden="1" customHeight="1" x14ac:dyDescent="0.25">
      <c r="A1014" s="42" t="s">
        <v>1244</v>
      </c>
      <c r="B1014" s="42">
        <v>800</v>
      </c>
      <c r="C1014" s="53">
        <v>5513</v>
      </c>
      <c r="D1014" s="53" t="str">
        <f>LEFT(Table1[[#This Row],[Eelarvekonto]],2)</f>
        <v>55</v>
      </c>
      <c r="E1014" s="42" t="str">
        <f>VLOOKUP(Table1[[#This Row],[Eelarvekonto]],Table5[[Konto]:[Konto nimetus]],2,FALSE)</f>
        <v>Sõidukite ülalpidamise kulud</v>
      </c>
      <c r="F1014" s="42" t="s">
        <v>139</v>
      </c>
      <c r="G1014" s="42" t="s">
        <v>24</v>
      </c>
      <c r="H1014" s="42"/>
      <c r="I1014" s="42"/>
      <c r="J1014" s="42" t="s">
        <v>320</v>
      </c>
      <c r="K1014" s="42" t="s">
        <v>80</v>
      </c>
      <c r="L1014" s="81" t="s">
        <v>319</v>
      </c>
      <c r="M1014" s="82" t="str">
        <f>LEFT(Table1[[#This Row],[Tegevusala kood]],2)</f>
        <v>06</v>
      </c>
      <c r="N1014" s="53" t="str">
        <f>VLOOKUP(Table1[[#This Row],[Tegevusala kood]],Table4[[Tegevusala kood]:[Tegevusala alanimetus]],2,FALSE)</f>
        <v>Roela, Tudu, Viru-Jaagupi teeninduspiirkond</v>
      </c>
      <c r="O1014" s="42"/>
      <c r="P1014" s="42"/>
      <c r="Q1014" s="53" t="str">
        <f>VLOOKUP(Table1[[#This Row],[Eelarvekonto]],Table5[[Konto]:[Kontode alanimetus]],5,FALSE)</f>
        <v>Majandamiskulud</v>
      </c>
      <c r="R1014" s="53" t="str">
        <f>VLOOKUP(Table1[[#This Row],[Tegevusala kood]],Table4[[Tegevusala kood]:[Tegevusala alanimetus]],4,FALSE)</f>
        <v>Muu elamu- ja kommunaalmajanduse tegevus</v>
      </c>
      <c r="S1014" s="53"/>
      <c r="T1014" s="53"/>
      <c r="U1014" s="53">
        <f>Table1[[#This Row],[Summa]]+Table1[[#This Row],[I Muudatus]]+Table1[[#This Row],[II Muudatus]]</f>
        <v>800</v>
      </c>
    </row>
    <row r="1015" spans="1:21" ht="14.25" hidden="1" customHeight="1" x14ac:dyDescent="0.25">
      <c r="A1015" s="42" t="s">
        <v>1245</v>
      </c>
      <c r="B1015" s="42">
        <v>500</v>
      </c>
      <c r="C1015" s="53">
        <v>5513</v>
      </c>
      <c r="D1015" s="53" t="str">
        <f>LEFT(Table1[[#This Row],[Eelarvekonto]],2)</f>
        <v>55</v>
      </c>
      <c r="E1015" s="42" t="str">
        <f>VLOOKUP(Table1[[#This Row],[Eelarvekonto]],Table5[[Konto]:[Konto nimetus]],2,FALSE)</f>
        <v>Sõidukite ülalpidamise kulud</v>
      </c>
      <c r="F1015" s="42" t="s">
        <v>139</v>
      </c>
      <c r="G1015" s="42" t="s">
        <v>24</v>
      </c>
      <c r="H1015" s="42"/>
      <c r="I1015" s="42"/>
      <c r="J1015" s="42" t="s">
        <v>320</v>
      </c>
      <c r="K1015" s="42" t="s">
        <v>80</v>
      </c>
      <c r="L1015" s="81" t="s">
        <v>319</v>
      </c>
      <c r="M1015" s="82" t="str">
        <f>LEFT(Table1[[#This Row],[Tegevusala kood]],2)</f>
        <v>06</v>
      </c>
      <c r="N1015" s="53" t="str">
        <f>VLOOKUP(Table1[[#This Row],[Tegevusala kood]],Table4[[Tegevusala kood]:[Tegevusala alanimetus]],2,FALSE)</f>
        <v>Roela, Tudu, Viru-Jaagupi teeninduspiirkond</v>
      </c>
      <c r="O1015" s="42"/>
      <c r="P1015" s="42"/>
      <c r="Q1015" s="53" t="str">
        <f>VLOOKUP(Table1[[#This Row],[Eelarvekonto]],Table5[[Konto]:[Kontode alanimetus]],5,FALSE)</f>
        <v>Majandamiskulud</v>
      </c>
      <c r="R1015" s="53" t="str">
        <f>VLOOKUP(Table1[[#This Row],[Tegevusala kood]],Table4[[Tegevusala kood]:[Tegevusala alanimetus]],4,FALSE)</f>
        <v>Muu elamu- ja kommunaalmajanduse tegevus</v>
      </c>
      <c r="S1015" s="53"/>
      <c r="T1015" s="53"/>
      <c r="U1015" s="53">
        <f>Table1[[#This Row],[Summa]]+Table1[[#This Row],[I Muudatus]]+Table1[[#This Row],[II Muudatus]]</f>
        <v>500</v>
      </c>
    </row>
    <row r="1016" spans="1:21" ht="14.25" hidden="1" customHeight="1" x14ac:dyDescent="0.25">
      <c r="A1016" s="42" t="s">
        <v>254</v>
      </c>
      <c r="B1016" s="42">
        <v>450</v>
      </c>
      <c r="C1016" s="53">
        <v>551307</v>
      </c>
      <c r="D1016" s="53" t="str">
        <f>LEFT(Table1[[#This Row],[Eelarvekonto]],2)</f>
        <v>55</v>
      </c>
      <c r="E1016" s="42" t="str">
        <f>VLOOKUP(Table1[[#This Row],[Eelarvekonto]],Table5[[Konto]:[Konto nimetus]],2,FALSE)</f>
        <v>Kindlustus</v>
      </c>
      <c r="F1016" s="42" t="s">
        <v>139</v>
      </c>
      <c r="G1016" s="42" t="s">
        <v>24</v>
      </c>
      <c r="H1016" s="42"/>
      <c r="I1016" s="42"/>
      <c r="J1016" s="42" t="s">
        <v>320</v>
      </c>
      <c r="K1016" s="42" t="s">
        <v>80</v>
      </c>
      <c r="L1016" s="81" t="s">
        <v>319</v>
      </c>
      <c r="M1016" s="82" t="str">
        <f>LEFT(Table1[[#This Row],[Tegevusala kood]],2)</f>
        <v>06</v>
      </c>
      <c r="N1016" s="53" t="str">
        <f>VLOOKUP(Table1[[#This Row],[Tegevusala kood]],Table4[[Tegevusala kood]:[Tegevusala alanimetus]],2,FALSE)</f>
        <v>Roela, Tudu, Viru-Jaagupi teeninduspiirkond</v>
      </c>
      <c r="O1016" s="42"/>
      <c r="P1016" s="42"/>
      <c r="Q1016" s="53" t="str">
        <f>VLOOKUP(Table1[[#This Row],[Eelarvekonto]],Table5[[Konto]:[Kontode alanimetus]],5,FALSE)</f>
        <v>Majandamiskulud</v>
      </c>
      <c r="R1016" s="53" t="str">
        <f>VLOOKUP(Table1[[#This Row],[Tegevusala kood]],Table4[[Tegevusala kood]:[Tegevusala alanimetus]],4,FALSE)</f>
        <v>Muu elamu- ja kommunaalmajanduse tegevus</v>
      </c>
      <c r="S1016" s="53"/>
      <c r="T1016" s="53"/>
      <c r="U1016" s="53">
        <f>Table1[[#This Row],[Summa]]+Table1[[#This Row],[I Muudatus]]+Table1[[#This Row],[II Muudatus]]</f>
        <v>450</v>
      </c>
    </row>
    <row r="1017" spans="1:21" ht="14.25" hidden="1" customHeight="1" x14ac:dyDescent="0.25">
      <c r="A1017" s="42" t="s">
        <v>452</v>
      </c>
      <c r="B1017" s="42">
        <v>3000</v>
      </c>
      <c r="C1017" s="53">
        <v>5515</v>
      </c>
      <c r="D1017" s="53" t="str">
        <f>LEFT(Table1[[#This Row],[Eelarvekonto]],2)</f>
        <v>55</v>
      </c>
      <c r="E1017" s="42" t="str">
        <f>VLOOKUP(Table1[[#This Row],[Eelarvekonto]],Table5[[Konto]:[Konto nimetus]],2,FALSE)</f>
        <v>Inventari majandamiskulud</v>
      </c>
      <c r="F1017" s="42" t="s">
        <v>139</v>
      </c>
      <c r="G1017" s="42" t="s">
        <v>24</v>
      </c>
      <c r="H1017" s="42"/>
      <c r="I1017" s="42"/>
      <c r="J1017" s="42" t="s">
        <v>320</v>
      </c>
      <c r="K1017" s="42" t="s">
        <v>80</v>
      </c>
      <c r="L1017" s="81" t="s">
        <v>319</v>
      </c>
      <c r="M1017" s="82" t="str">
        <f>LEFT(Table1[[#This Row],[Tegevusala kood]],2)</f>
        <v>06</v>
      </c>
      <c r="N1017" s="53" t="str">
        <f>VLOOKUP(Table1[[#This Row],[Tegevusala kood]],Table4[[Tegevusala kood]:[Tegevusala alanimetus]],2,FALSE)</f>
        <v>Roela, Tudu, Viru-Jaagupi teeninduspiirkond</v>
      </c>
      <c r="O1017" s="42"/>
      <c r="P1017" s="42"/>
      <c r="Q1017" s="53" t="str">
        <f>VLOOKUP(Table1[[#This Row],[Eelarvekonto]],Table5[[Konto]:[Kontode alanimetus]],5,FALSE)</f>
        <v>Majandamiskulud</v>
      </c>
      <c r="R1017" s="53" t="str">
        <f>VLOOKUP(Table1[[#This Row],[Tegevusala kood]],Table4[[Tegevusala kood]:[Tegevusala alanimetus]],4,FALSE)</f>
        <v>Muu elamu- ja kommunaalmajanduse tegevus</v>
      </c>
      <c r="S1017" s="53"/>
      <c r="T1017" s="53"/>
      <c r="U1017" s="53">
        <f>Table1[[#This Row],[Summa]]+Table1[[#This Row],[I Muudatus]]+Table1[[#This Row],[II Muudatus]]</f>
        <v>3000</v>
      </c>
    </row>
    <row r="1018" spans="1:21" ht="14.25" hidden="1" customHeight="1" x14ac:dyDescent="0.25">
      <c r="A1018" s="42" t="s">
        <v>1246</v>
      </c>
      <c r="B1018" s="42">
        <v>3000</v>
      </c>
      <c r="C1018" s="53">
        <v>551100</v>
      </c>
      <c r="D1018" s="53" t="str">
        <f>LEFT(Table1[[#This Row],[Eelarvekonto]],2)</f>
        <v>55</v>
      </c>
      <c r="E1018" s="42" t="str">
        <f>VLOOKUP(Table1[[#This Row],[Eelarvekonto]],Table5[[Konto]:[Konto nimetus]],2,FALSE)</f>
        <v>Küte ja soojusenergia</v>
      </c>
      <c r="F1018" s="42" t="s">
        <v>139</v>
      </c>
      <c r="G1018" s="42" t="s">
        <v>24</v>
      </c>
      <c r="H1018" s="42"/>
      <c r="I1018" s="42"/>
      <c r="J1018" s="42" t="s">
        <v>320</v>
      </c>
      <c r="K1018" s="42" t="s">
        <v>80</v>
      </c>
      <c r="L1018" s="81" t="s">
        <v>319</v>
      </c>
      <c r="M1018" s="82" t="str">
        <f>LEFT(Table1[[#This Row],[Tegevusala kood]],2)</f>
        <v>06</v>
      </c>
      <c r="N1018" s="53" t="str">
        <f>VLOOKUP(Table1[[#This Row],[Tegevusala kood]],Table4[[Tegevusala kood]:[Tegevusala alanimetus]],2,FALSE)</f>
        <v>Roela, Tudu, Viru-Jaagupi teeninduspiirkond</v>
      </c>
      <c r="O1018" s="42"/>
      <c r="P1018" s="42"/>
      <c r="Q1018" s="53" t="str">
        <f>VLOOKUP(Table1[[#This Row],[Eelarvekonto]],Table5[[Konto]:[Kontode alanimetus]],5,FALSE)</f>
        <v>Majandamiskulud</v>
      </c>
      <c r="R1018" s="53" t="str">
        <f>VLOOKUP(Table1[[#This Row],[Tegevusala kood]],Table4[[Tegevusala kood]:[Tegevusala alanimetus]],4,FALSE)</f>
        <v>Muu elamu- ja kommunaalmajanduse tegevus</v>
      </c>
      <c r="S1018" s="53"/>
      <c r="T1018" s="53"/>
      <c r="U1018" s="53">
        <f>Table1[[#This Row],[Summa]]+Table1[[#This Row],[I Muudatus]]+Table1[[#This Row],[II Muudatus]]</f>
        <v>3000</v>
      </c>
    </row>
    <row r="1019" spans="1:21" ht="14.25" hidden="1" customHeight="1" x14ac:dyDescent="0.25">
      <c r="A1019" s="42" t="s">
        <v>1247</v>
      </c>
      <c r="B1019" s="42">
        <v>1600</v>
      </c>
      <c r="C1019" s="53">
        <v>551100</v>
      </c>
      <c r="D1019" s="53" t="str">
        <f>LEFT(Table1[[#This Row],[Eelarvekonto]],2)</f>
        <v>55</v>
      </c>
      <c r="E1019" s="42" t="str">
        <f>VLOOKUP(Table1[[#This Row],[Eelarvekonto]],Table5[[Konto]:[Konto nimetus]],2,FALSE)</f>
        <v>Küte ja soojusenergia</v>
      </c>
      <c r="F1019" s="42" t="s">
        <v>139</v>
      </c>
      <c r="G1019" s="42" t="s">
        <v>24</v>
      </c>
      <c r="H1019" s="42"/>
      <c r="I1019" s="42"/>
      <c r="J1019" s="42" t="s">
        <v>320</v>
      </c>
      <c r="K1019" s="42" t="s">
        <v>80</v>
      </c>
      <c r="L1019" s="81" t="s">
        <v>319</v>
      </c>
      <c r="M1019" s="82" t="str">
        <f>LEFT(Table1[[#This Row],[Tegevusala kood]],2)</f>
        <v>06</v>
      </c>
      <c r="N1019" s="53" t="str">
        <f>VLOOKUP(Table1[[#This Row],[Tegevusala kood]],Table4[[Tegevusala kood]:[Tegevusala alanimetus]],2,FALSE)</f>
        <v>Roela, Tudu, Viru-Jaagupi teeninduspiirkond</v>
      </c>
      <c r="O1019" s="42"/>
      <c r="P1019" s="42"/>
      <c r="Q1019" s="53" t="str">
        <f>VLOOKUP(Table1[[#This Row],[Eelarvekonto]],Table5[[Konto]:[Kontode alanimetus]],5,FALSE)</f>
        <v>Majandamiskulud</v>
      </c>
      <c r="R1019" s="53" t="str">
        <f>VLOOKUP(Table1[[#This Row],[Tegevusala kood]],Table4[[Tegevusala kood]:[Tegevusala alanimetus]],4,FALSE)</f>
        <v>Muu elamu- ja kommunaalmajanduse tegevus</v>
      </c>
      <c r="S1019" s="53"/>
      <c r="T1019" s="53"/>
      <c r="U1019" s="53">
        <f>Table1[[#This Row],[Summa]]+Table1[[#This Row],[I Muudatus]]+Table1[[#This Row],[II Muudatus]]</f>
        <v>1600</v>
      </c>
    </row>
    <row r="1020" spans="1:21" ht="14.25" hidden="1" customHeight="1" x14ac:dyDescent="0.25">
      <c r="A1020" s="42" t="s">
        <v>153</v>
      </c>
      <c r="B1020" s="42">
        <v>1000</v>
      </c>
      <c r="C1020" s="53">
        <v>5532</v>
      </c>
      <c r="D1020" s="53" t="str">
        <f>LEFT(Table1[[#This Row],[Eelarvekonto]],2)</f>
        <v>55</v>
      </c>
      <c r="E1020" s="42" t="str">
        <f>VLOOKUP(Table1[[#This Row],[Eelarvekonto]],Table5[[Konto]:[Konto nimetus]],2,FALSE)</f>
        <v>Eri- ja vormiriietus (va kaitseotstarbelised kulud)</v>
      </c>
      <c r="F1020" s="42" t="s">
        <v>139</v>
      </c>
      <c r="G1020" s="42" t="s">
        <v>24</v>
      </c>
      <c r="H1020" s="42"/>
      <c r="I1020" s="42"/>
      <c r="J1020" s="42" t="s">
        <v>320</v>
      </c>
      <c r="K1020" s="42" t="s">
        <v>80</v>
      </c>
      <c r="L1020" s="81" t="s">
        <v>319</v>
      </c>
      <c r="M1020" s="82" t="str">
        <f>LEFT(Table1[[#This Row],[Tegevusala kood]],2)</f>
        <v>06</v>
      </c>
      <c r="N1020" s="53" t="str">
        <f>VLOOKUP(Table1[[#This Row],[Tegevusala kood]],Table4[[Tegevusala kood]:[Tegevusala alanimetus]],2,FALSE)</f>
        <v>Roela, Tudu, Viru-Jaagupi teeninduspiirkond</v>
      </c>
      <c r="O1020" s="42"/>
      <c r="P1020" s="42"/>
      <c r="Q1020" s="53" t="str">
        <f>VLOOKUP(Table1[[#This Row],[Eelarvekonto]],Table5[[Konto]:[Kontode alanimetus]],5,FALSE)</f>
        <v>Majandamiskulud</v>
      </c>
      <c r="R1020" s="53" t="str">
        <f>VLOOKUP(Table1[[#This Row],[Tegevusala kood]],Table4[[Tegevusala kood]:[Tegevusala alanimetus]],4,FALSE)</f>
        <v>Muu elamu- ja kommunaalmajanduse tegevus</v>
      </c>
      <c r="S1020" s="53"/>
      <c r="T1020" s="53"/>
      <c r="U1020" s="53">
        <f>Table1[[#This Row],[Summa]]+Table1[[#This Row],[I Muudatus]]+Table1[[#This Row],[II Muudatus]]</f>
        <v>1000</v>
      </c>
    </row>
    <row r="1021" spans="1:21" ht="14.25" hidden="1" customHeight="1" x14ac:dyDescent="0.25">
      <c r="A1021" s="42" t="s">
        <v>193</v>
      </c>
      <c r="B1021" s="42"/>
      <c r="C1021" s="53">
        <v>5522</v>
      </c>
      <c r="D1021" s="53" t="str">
        <f>LEFT(Table1[[#This Row],[Eelarvekonto]],2)</f>
        <v>55</v>
      </c>
      <c r="E1021" s="42" t="str">
        <f>VLOOKUP(Table1[[#This Row],[Eelarvekonto]],Table5[[Konto]:[Konto nimetus]],2,FALSE)</f>
        <v>Meditsiinikulud ja hügieenikulud</v>
      </c>
      <c r="F1021" s="42" t="s">
        <v>139</v>
      </c>
      <c r="G1021" s="42" t="s">
        <v>24</v>
      </c>
      <c r="H1021" s="42"/>
      <c r="I1021" s="42"/>
      <c r="J1021" s="42" t="s">
        <v>320</v>
      </c>
      <c r="K1021" s="42" t="s">
        <v>80</v>
      </c>
      <c r="L1021" s="81" t="s">
        <v>319</v>
      </c>
      <c r="M1021" s="82" t="str">
        <f>LEFT(Table1[[#This Row],[Tegevusala kood]],2)</f>
        <v>06</v>
      </c>
      <c r="N1021" s="53" t="str">
        <f>VLOOKUP(Table1[[#This Row],[Tegevusala kood]],Table4[[Tegevusala kood]:[Tegevusala alanimetus]],2,FALSE)</f>
        <v>Roela, Tudu, Viru-Jaagupi teeninduspiirkond</v>
      </c>
      <c r="O1021" s="42"/>
      <c r="P1021" s="42"/>
      <c r="Q1021" s="53" t="str">
        <f>VLOOKUP(Table1[[#This Row],[Eelarvekonto]],Table5[[Konto]:[Kontode alanimetus]],5,FALSE)</f>
        <v>Majandamiskulud</v>
      </c>
      <c r="R1021" s="53" t="str">
        <f>VLOOKUP(Table1[[#This Row],[Tegevusala kood]],Table4[[Tegevusala kood]:[Tegevusala alanimetus]],4,FALSE)</f>
        <v>Muu elamu- ja kommunaalmajanduse tegevus</v>
      </c>
      <c r="S1021" s="53"/>
      <c r="T1021" s="53"/>
      <c r="U1021" s="53">
        <f>Table1[[#This Row],[Summa]]+Table1[[#This Row],[I Muudatus]]+Table1[[#This Row],[II Muudatus]]</f>
        <v>0</v>
      </c>
    </row>
    <row r="1022" spans="1:21" ht="14.25" hidden="1" customHeight="1" x14ac:dyDescent="0.25">
      <c r="A1022" s="42" t="s">
        <v>1248</v>
      </c>
      <c r="B1022" s="42">
        <v>500</v>
      </c>
      <c r="C1022" s="53">
        <v>5540</v>
      </c>
      <c r="D1022" s="53" t="str">
        <f>LEFT(Table1[[#This Row],[Eelarvekonto]],2)</f>
        <v>55</v>
      </c>
      <c r="E1022" s="42" t="str">
        <f>VLOOKUP(Table1[[#This Row],[Eelarvekonto]],Table5[[Konto]:[Konto nimetus]],2,FALSE)</f>
        <v>Mitmesugused majanduskulud</v>
      </c>
      <c r="F1022" s="42" t="s">
        <v>139</v>
      </c>
      <c r="G1022" s="42" t="s">
        <v>24</v>
      </c>
      <c r="H1022" s="42"/>
      <c r="I1022" s="42"/>
      <c r="J1022" s="42" t="s">
        <v>167</v>
      </c>
      <c r="K1022" s="42" t="s">
        <v>165</v>
      </c>
      <c r="L1022" s="81" t="s">
        <v>166</v>
      </c>
      <c r="M1022" s="82" t="str">
        <f>LEFT(Table1[[#This Row],[Tegevusala kood]],2)</f>
        <v>10</v>
      </c>
      <c r="N1022" s="53" t="str">
        <f>VLOOKUP(Table1[[#This Row],[Tegevusala kood]],Table4[[Tegevusala kood]:[Tegevusala alanimetus]],2,FALSE)</f>
        <v>Tammiku Kodu</v>
      </c>
      <c r="O1022" s="42"/>
      <c r="P1022" s="42"/>
      <c r="Q1022" s="53" t="str">
        <f>VLOOKUP(Table1[[#This Row],[Eelarvekonto]],Table5[[Konto]:[Kontode alanimetus]],5,FALSE)</f>
        <v>Majandamiskulud</v>
      </c>
      <c r="R1022" s="53" t="str">
        <f>VLOOKUP(Table1[[#This Row],[Tegevusala kood]],Table4[[Tegevusala kood]:[Tegevusala alanimetus]],4,FALSE)</f>
        <v>Eakate sotsiaalhoolekande asutused</v>
      </c>
      <c r="S1022" s="53"/>
      <c r="T1022" s="53"/>
      <c r="U1022" s="53">
        <f>Table1[[#This Row],[Summa]]+Table1[[#This Row],[I Muudatus]]+Table1[[#This Row],[II Muudatus]]</f>
        <v>500</v>
      </c>
    </row>
    <row r="1023" spans="1:21" ht="14.25" hidden="1" customHeight="1" x14ac:dyDescent="0.25">
      <c r="A1023" s="42" t="s">
        <v>1249</v>
      </c>
      <c r="B1023" s="42">
        <v>120</v>
      </c>
      <c r="C1023" s="53">
        <v>5522</v>
      </c>
      <c r="D1023" s="53" t="str">
        <f>LEFT(Table1[[#This Row],[Eelarvekonto]],2)</f>
        <v>55</v>
      </c>
      <c r="E1023" s="42" t="str">
        <f>VLOOKUP(Table1[[#This Row],[Eelarvekonto]],Table5[[Konto]:[Konto nimetus]],2,FALSE)</f>
        <v>Meditsiinikulud ja hügieenikulud</v>
      </c>
      <c r="F1023" s="42" t="s">
        <v>139</v>
      </c>
      <c r="G1023" s="42" t="s">
        <v>24</v>
      </c>
      <c r="H1023" s="42"/>
      <c r="I1023" s="42"/>
      <c r="J1023" s="42" t="s">
        <v>167</v>
      </c>
      <c r="K1023" s="42" t="s">
        <v>165</v>
      </c>
      <c r="L1023" s="81" t="s">
        <v>166</v>
      </c>
      <c r="M1023" s="82" t="str">
        <f>LEFT(Table1[[#This Row],[Tegevusala kood]],2)</f>
        <v>10</v>
      </c>
      <c r="N1023" s="53" t="str">
        <f>VLOOKUP(Table1[[#This Row],[Tegevusala kood]],Table4[[Tegevusala kood]:[Tegevusala alanimetus]],2,FALSE)</f>
        <v>Tammiku Kodu</v>
      </c>
      <c r="O1023" s="42"/>
      <c r="P1023" s="42"/>
      <c r="Q1023" s="53" t="str">
        <f>VLOOKUP(Table1[[#This Row],[Eelarvekonto]],Table5[[Konto]:[Kontode alanimetus]],5,FALSE)</f>
        <v>Majandamiskulud</v>
      </c>
      <c r="R1023" s="53" t="str">
        <f>VLOOKUP(Table1[[#This Row],[Tegevusala kood]],Table4[[Tegevusala kood]:[Tegevusala alanimetus]],4,FALSE)</f>
        <v>Eakate sotsiaalhoolekande asutused</v>
      </c>
      <c r="S1023" s="53"/>
      <c r="T1023" s="53"/>
      <c r="U1023" s="53">
        <f>Table1[[#This Row],[Summa]]+Table1[[#This Row],[I Muudatus]]+Table1[[#This Row],[II Muudatus]]</f>
        <v>120</v>
      </c>
    </row>
    <row r="1024" spans="1:21" ht="14.25" hidden="1" customHeight="1" x14ac:dyDescent="0.25">
      <c r="A1024" s="42" t="s">
        <v>1250</v>
      </c>
      <c r="B1024" s="42">
        <v>2700</v>
      </c>
      <c r="C1024" s="53">
        <v>5522</v>
      </c>
      <c r="D1024" s="53" t="str">
        <f>LEFT(Table1[[#This Row],[Eelarvekonto]],2)</f>
        <v>55</v>
      </c>
      <c r="E1024" s="42" t="str">
        <f>VLOOKUP(Table1[[#This Row],[Eelarvekonto]],Table5[[Konto]:[Konto nimetus]],2,FALSE)</f>
        <v>Meditsiinikulud ja hügieenikulud</v>
      </c>
      <c r="F1024" s="42" t="s">
        <v>139</v>
      </c>
      <c r="G1024" s="42" t="s">
        <v>24</v>
      </c>
      <c r="H1024" s="42"/>
      <c r="I1024" s="42"/>
      <c r="J1024" s="42" t="s">
        <v>167</v>
      </c>
      <c r="K1024" s="42" t="s">
        <v>165</v>
      </c>
      <c r="L1024" s="81" t="s">
        <v>166</v>
      </c>
      <c r="M1024" s="82" t="str">
        <f>LEFT(Table1[[#This Row],[Tegevusala kood]],2)</f>
        <v>10</v>
      </c>
      <c r="N1024" s="53" t="str">
        <f>VLOOKUP(Table1[[#This Row],[Tegevusala kood]],Table4[[Tegevusala kood]:[Tegevusala alanimetus]],2,FALSE)</f>
        <v>Tammiku Kodu</v>
      </c>
      <c r="O1024" s="42"/>
      <c r="P1024" s="42"/>
      <c r="Q1024" s="53" t="str">
        <f>VLOOKUP(Table1[[#This Row],[Eelarvekonto]],Table5[[Konto]:[Kontode alanimetus]],5,FALSE)</f>
        <v>Majandamiskulud</v>
      </c>
      <c r="R1024" s="53" t="str">
        <f>VLOOKUP(Table1[[#This Row],[Tegevusala kood]],Table4[[Tegevusala kood]:[Tegevusala alanimetus]],4,FALSE)</f>
        <v>Eakate sotsiaalhoolekande asutused</v>
      </c>
      <c r="S1024" s="53"/>
      <c r="T1024" s="53"/>
      <c r="U1024" s="53">
        <f>Table1[[#This Row],[Summa]]+Table1[[#This Row],[I Muudatus]]+Table1[[#This Row],[II Muudatus]]</f>
        <v>2700</v>
      </c>
    </row>
    <row r="1025" spans="1:21" ht="14.25" hidden="1" customHeight="1" x14ac:dyDescent="0.25">
      <c r="A1025" s="42" t="s">
        <v>1251</v>
      </c>
      <c r="B1025" s="42">
        <v>2300</v>
      </c>
      <c r="C1025" s="53">
        <v>5522</v>
      </c>
      <c r="D1025" s="53" t="str">
        <f>LEFT(Table1[[#This Row],[Eelarvekonto]],2)</f>
        <v>55</v>
      </c>
      <c r="E1025" s="42" t="str">
        <f>VLOOKUP(Table1[[#This Row],[Eelarvekonto]],Table5[[Konto]:[Konto nimetus]],2,FALSE)</f>
        <v>Meditsiinikulud ja hügieenikulud</v>
      </c>
      <c r="F1025" s="42" t="s">
        <v>139</v>
      </c>
      <c r="G1025" s="42" t="s">
        <v>24</v>
      </c>
      <c r="H1025" s="42"/>
      <c r="I1025" s="42"/>
      <c r="J1025" s="42" t="s">
        <v>167</v>
      </c>
      <c r="K1025" s="42" t="s">
        <v>165</v>
      </c>
      <c r="L1025" s="81" t="s">
        <v>166</v>
      </c>
      <c r="M1025" s="82" t="str">
        <f>LEFT(Table1[[#This Row],[Tegevusala kood]],2)</f>
        <v>10</v>
      </c>
      <c r="N1025" s="53" t="str">
        <f>VLOOKUP(Table1[[#This Row],[Tegevusala kood]],Table4[[Tegevusala kood]:[Tegevusala alanimetus]],2,FALSE)</f>
        <v>Tammiku Kodu</v>
      </c>
      <c r="O1025" s="42"/>
      <c r="P1025" s="42"/>
      <c r="Q1025" s="53" t="str">
        <f>VLOOKUP(Table1[[#This Row],[Eelarvekonto]],Table5[[Konto]:[Kontode alanimetus]],5,FALSE)</f>
        <v>Majandamiskulud</v>
      </c>
      <c r="R1025" s="53" t="str">
        <f>VLOOKUP(Table1[[#This Row],[Tegevusala kood]],Table4[[Tegevusala kood]:[Tegevusala alanimetus]],4,FALSE)</f>
        <v>Eakate sotsiaalhoolekande asutused</v>
      </c>
      <c r="S1025" s="53"/>
      <c r="T1025" s="53"/>
      <c r="U1025" s="53">
        <f>Table1[[#This Row],[Summa]]+Table1[[#This Row],[I Muudatus]]+Table1[[#This Row],[II Muudatus]]</f>
        <v>2300</v>
      </c>
    </row>
    <row r="1026" spans="1:21" ht="14.25" hidden="1" customHeight="1" x14ac:dyDescent="0.25">
      <c r="A1026" s="42" t="s">
        <v>452</v>
      </c>
      <c r="B1026" s="42">
        <v>500</v>
      </c>
      <c r="C1026" s="53">
        <v>5515</v>
      </c>
      <c r="D1026" s="53" t="str">
        <f>LEFT(Table1[[#This Row],[Eelarvekonto]],2)</f>
        <v>55</v>
      </c>
      <c r="E1026" s="42" t="str">
        <f>VLOOKUP(Table1[[#This Row],[Eelarvekonto]],Table5[[Konto]:[Konto nimetus]],2,FALSE)</f>
        <v>Inventari majandamiskulud</v>
      </c>
      <c r="F1026" s="42" t="s">
        <v>139</v>
      </c>
      <c r="G1026" s="42" t="s">
        <v>24</v>
      </c>
      <c r="H1026" s="42"/>
      <c r="I1026" s="42"/>
      <c r="J1026" s="42" t="s">
        <v>167</v>
      </c>
      <c r="K1026" s="42" t="s">
        <v>165</v>
      </c>
      <c r="L1026" s="81" t="s">
        <v>166</v>
      </c>
      <c r="M1026" s="82" t="str">
        <f>LEFT(Table1[[#This Row],[Tegevusala kood]],2)</f>
        <v>10</v>
      </c>
      <c r="N1026" s="53" t="str">
        <f>VLOOKUP(Table1[[#This Row],[Tegevusala kood]],Table4[[Tegevusala kood]:[Tegevusala alanimetus]],2,FALSE)</f>
        <v>Tammiku Kodu</v>
      </c>
      <c r="O1026" s="42"/>
      <c r="P1026" s="42"/>
      <c r="Q1026" s="53" t="str">
        <f>VLOOKUP(Table1[[#This Row],[Eelarvekonto]],Table5[[Konto]:[Kontode alanimetus]],5,FALSE)</f>
        <v>Majandamiskulud</v>
      </c>
      <c r="R1026" s="53" t="str">
        <f>VLOOKUP(Table1[[#This Row],[Tegevusala kood]],Table4[[Tegevusala kood]:[Tegevusala alanimetus]],4,FALSE)</f>
        <v>Eakate sotsiaalhoolekande asutused</v>
      </c>
      <c r="S1026" s="53"/>
      <c r="T1026" s="53"/>
      <c r="U1026" s="53">
        <f>Table1[[#This Row],[Summa]]+Table1[[#This Row],[I Muudatus]]+Table1[[#This Row],[II Muudatus]]</f>
        <v>500</v>
      </c>
    </row>
    <row r="1027" spans="1:21" ht="14.25" hidden="1" customHeight="1" x14ac:dyDescent="0.25">
      <c r="A1027" s="42" t="s">
        <v>1252</v>
      </c>
      <c r="B1027" s="42">
        <v>150</v>
      </c>
      <c r="C1027" s="53">
        <v>5511</v>
      </c>
      <c r="D1027" s="53" t="str">
        <f>LEFT(Table1[[#This Row],[Eelarvekonto]],2)</f>
        <v>55</v>
      </c>
      <c r="E1027" s="42" t="str">
        <f>VLOOKUP(Table1[[#This Row],[Eelarvekonto]],Table5[[Konto]:[Konto nimetus]],2,FALSE)</f>
        <v>Kinnistute, hoonete ja ruumide majandamiskulud</v>
      </c>
      <c r="F1027" s="42" t="s">
        <v>139</v>
      </c>
      <c r="G1027" s="42" t="s">
        <v>24</v>
      </c>
      <c r="H1027" s="42"/>
      <c r="I1027" s="42"/>
      <c r="J1027" s="42" t="s">
        <v>167</v>
      </c>
      <c r="K1027" s="42" t="s">
        <v>165</v>
      </c>
      <c r="L1027" s="81" t="s">
        <v>166</v>
      </c>
      <c r="M1027" s="82" t="str">
        <f>LEFT(Table1[[#This Row],[Tegevusala kood]],2)</f>
        <v>10</v>
      </c>
      <c r="N1027" s="53" t="str">
        <f>VLOOKUP(Table1[[#This Row],[Tegevusala kood]],Table4[[Tegevusala kood]:[Tegevusala alanimetus]],2,FALSE)</f>
        <v>Tammiku Kodu</v>
      </c>
      <c r="O1027" s="42"/>
      <c r="P1027" s="42"/>
      <c r="Q1027" s="53" t="str">
        <f>VLOOKUP(Table1[[#This Row],[Eelarvekonto]],Table5[[Konto]:[Kontode alanimetus]],5,FALSE)</f>
        <v>Majandamiskulud</v>
      </c>
      <c r="R1027" s="53" t="str">
        <f>VLOOKUP(Table1[[#This Row],[Tegevusala kood]],Table4[[Tegevusala kood]:[Tegevusala alanimetus]],4,FALSE)</f>
        <v>Eakate sotsiaalhoolekande asutused</v>
      </c>
      <c r="S1027" s="53"/>
      <c r="T1027" s="53"/>
      <c r="U1027" s="53">
        <f>Table1[[#This Row],[Summa]]+Table1[[#This Row],[I Muudatus]]+Table1[[#This Row],[II Muudatus]]</f>
        <v>150</v>
      </c>
    </row>
    <row r="1028" spans="1:21" ht="14.25" hidden="1" customHeight="1" x14ac:dyDescent="0.25">
      <c r="A1028" s="42" t="s">
        <v>467</v>
      </c>
      <c r="B1028" s="42">
        <v>156</v>
      </c>
      <c r="C1028" s="53">
        <v>5511</v>
      </c>
      <c r="D1028" s="53" t="str">
        <f>LEFT(Table1[[#This Row],[Eelarvekonto]],2)</f>
        <v>55</v>
      </c>
      <c r="E1028" s="42" t="str">
        <f>VLOOKUP(Table1[[#This Row],[Eelarvekonto]],Table5[[Konto]:[Konto nimetus]],2,FALSE)</f>
        <v>Kinnistute, hoonete ja ruumide majandamiskulud</v>
      </c>
      <c r="F1028" s="42" t="s">
        <v>139</v>
      </c>
      <c r="G1028" s="42" t="s">
        <v>24</v>
      </c>
      <c r="H1028" s="42"/>
      <c r="I1028" s="42"/>
      <c r="J1028" s="42" t="s">
        <v>167</v>
      </c>
      <c r="K1028" s="42" t="s">
        <v>165</v>
      </c>
      <c r="L1028" s="81" t="s">
        <v>166</v>
      </c>
      <c r="M1028" s="82" t="str">
        <f>LEFT(Table1[[#This Row],[Tegevusala kood]],2)</f>
        <v>10</v>
      </c>
      <c r="N1028" s="53" t="str">
        <f>VLOOKUP(Table1[[#This Row],[Tegevusala kood]],Table4[[Tegevusala kood]:[Tegevusala alanimetus]],2,FALSE)</f>
        <v>Tammiku Kodu</v>
      </c>
      <c r="O1028" s="42"/>
      <c r="P1028" s="42"/>
      <c r="Q1028" s="53" t="str">
        <f>VLOOKUP(Table1[[#This Row],[Eelarvekonto]],Table5[[Konto]:[Kontode alanimetus]],5,FALSE)</f>
        <v>Majandamiskulud</v>
      </c>
      <c r="R1028" s="53" t="str">
        <f>VLOOKUP(Table1[[#This Row],[Tegevusala kood]],Table4[[Tegevusala kood]:[Tegevusala alanimetus]],4,FALSE)</f>
        <v>Eakate sotsiaalhoolekande asutused</v>
      </c>
      <c r="S1028" s="53"/>
      <c r="T1028" s="53"/>
      <c r="U1028" s="53">
        <f>Table1[[#This Row],[Summa]]+Table1[[#This Row],[I Muudatus]]+Table1[[#This Row],[II Muudatus]]</f>
        <v>156</v>
      </c>
    </row>
    <row r="1029" spans="1:21" ht="14.25" hidden="1" customHeight="1" x14ac:dyDescent="0.25">
      <c r="A1029" s="42" t="s">
        <v>1253</v>
      </c>
      <c r="B1029" s="42">
        <v>140</v>
      </c>
      <c r="C1029" s="53">
        <v>5511</v>
      </c>
      <c r="D1029" s="53" t="str">
        <f>LEFT(Table1[[#This Row],[Eelarvekonto]],2)</f>
        <v>55</v>
      </c>
      <c r="E1029" s="42" t="str">
        <f>VLOOKUP(Table1[[#This Row],[Eelarvekonto]],Table5[[Konto]:[Konto nimetus]],2,FALSE)</f>
        <v>Kinnistute, hoonete ja ruumide majandamiskulud</v>
      </c>
      <c r="F1029" s="42" t="s">
        <v>139</v>
      </c>
      <c r="G1029" s="42" t="s">
        <v>24</v>
      </c>
      <c r="H1029" s="42"/>
      <c r="I1029" s="42"/>
      <c r="J1029" s="42" t="s">
        <v>167</v>
      </c>
      <c r="K1029" s="42" t="s">
        <v>165</v>
      </c>
      <c r="L1029" s="81" t="s">
        <v>166</v>
      </c>
      <c r="M1029" s="82" t="str">
        <f>LEFT(Table1[[#This Row],[Tegevusala kood]],2)</f>
        <v>10</v>
      </c>
      <c r="N1029" s="53" t="str">
        <f>VLOOKUP(Table1[[#This Row],[Tegevusala kood]],Table4[[Tegevusala kood]:[Tegevusala alanimetus]],2,FALSE)</f>
        <v>Tammiku Kodu</v>
      </c>
      <c r="O1029" s="42"/>
      <c r="P1029" s="42"/>
      <c r="Q1029" s="53" t="str">
        <f>VLOOKUP(Table1[[#This Row],[Eelarvekonto]],Table5[[Konto]:[Kontode alanimetus]],5,FALSE)</f>
        <v>Majandamiskulud</v>
      </c>
      <c r="R1029" s="53" t="str">
        <f>VLOOKUP(Table1[[#This Row],[Tegevusala kood]],Table4[[Tegevusala kood]:[Tegevusala alanimetus]],4,FALSE)</f>
        <v>Eakate sotsiaalhoolekande asutused</v>
      </c>
      <c r="S1029" s="53"/>
      <c r="T1029" s="53"/>
      <c r="U1029" s="53">
        <f>Table1[[#This Row],[Summa]]+Table1[[#This Row],[I Muudatus]]+Table1[[#This Row],[II Muudatus]]</f>
        <v>140</v>
      </c>
    </row>
    <row r="1030" spans="1:21" ht="14.25" hidden="1" customHeight="1" x14ac:dyDescent="0.25">
      <c r="A1030" s="42" t="s">
        <v>1254</v>
      </c>
      <c r="B1030" s="42">
        <v>654</v>
      </c>
      <c r="C1030" s="53">
        <v>5511</v>
      </c>
      <c r="D1030" s="53" t="str">
        <f>LEFT(Table1[[#This Row],[Eelarvekonto]],2)</f>
        <v>55</v>
      </c>
      <c r="E1030" s="42" t="str">
        <f>VLOOKUP(Table1[[#This Row],[Eelarvekonto]],Table5[[Konto]:[Konto nimetus]],2,FALSE)</f>
        <v>Kinnistute, hoonete ja ruumide majandamiskulud</v>
      </c>
      <c r="F1030" s="42" t="s">
        <v>139</v>
      </c>
      <c r="G1030" s="42" t="s">
        <v>24</v>
      </c>
      <c r="H1030" s="42"/>
      <c r="I1030" s="42"/>
      <c r="J1030" s="42" t="s">
        <v>167</v>
      </c>
      <c r="K1030" s="42" t="s">
        <v>165</v>
      </c>
      <c r="L1030" s="81" t="s">
        <v>166</v>
      </c>
      <c r="M1030" s="82" t="str">
        <f>LEFT(Table1[[#This Row],[Tegevusala kood]],2)</f>
        <v>10</v>
      </c>
      <c r="N1030" s="53" t="str">
        <f>VLOOKUP(Table1[[#This Row],[Tegevusala kood]],Table4[[Tegevusala kood]:[Tegevusala alanimetus]],2,FALSE)</f>
        <v>Tammiku Kodu</v>
      </c>
      <c r="O1030" s="42"/>
      <c r="P1030" s="42"/>
      <c r="Q1030" s="53" t="str">
        <f>VLOOKUP(Table1[[#This Row],[Eelarvekonto]],Table5[[Konto]:[Kontode alanimetus]],5,FALSE)</f>
        <v>Majandamiskulud</v>
      </c>
      <c r="R1030" s="53" t="str">
        <f>VLOOKUP(Table1[[#This Row],[Tegevusala kood]],Table4[[Tegevusala kood]:[Tegevusala alanimetus]],4,FALSE)</f>
        <v>Eakate sotsiaalhoolekande asutused</v>
      </c>
      <c r="S1030" s="53"/>
      <c r="T1030" s="53"/>
      <c r="U1030" s="53">
        <f>Table1[[#This Row],[Summa]]+Table1[[#This Row],[I Muudatus]]+Table1[[#This Row],[II Muudatus]]</f>
        <v>654</v>
      </c>
    </row>
    <row r="1031" spans="1:21" ht="14.25" hidden="1" customHeight="1" x14ac:dyDescent="0.25">
      <c r="A1031" s="42" t="s">
        <v>1255</v>
      </c>
      <c r="B1031" s="42">
        <v>180</v>
      </c>
      <c r="C1031" s="53">
        <v>5511</v>
      </c>
      <c r="D1031" s="53" t="str">
        <f>LEFT(Table1[[#This Row],[Eelarvekonto]],2)</f>
        <v>55</v>
      </c>
      <c r="E1031" s="42" t="str">
        <f>VLOOKUP(Table1[[#This Row],[Eelarvekonto]],Table5[[Konto]:[Konto nimetus]],2,FALSE)</f>
        <v>Kinnistute, hoonete ja ruumide majandamiskulud</v>
      </c>
      <c r="F1031" s="42" t="s">
        <v>139</v>
      </c>
      <c r="G1031" s="42" t="s">
        <v>24</v>
      </c>
      <c r="H1031" s="42"/>
      <c r="I1031" s="42"/>
      <c r="J1031" s="42" t="s">
        <v>167</v>
      </c>
      <c r="K1031" s="42" t="s">
        <v>165</v>
      </c>
      <c r="L1031" s="81" t="s">
        <v>166</v>
      </c>
      <c r="M1031" s="82" t="str">
        <f>LEFT(Table1[[#This Row],[Tegevusala kood]],2)</f>
        <v>10</v>
      </c>
      <c r="N1031" s="53" t="str">
        <f>VLOOKUP(Table1[[#This Row],[Tegevusala kood]],Table4[[Tegevusala kood]:[Tegevusala alanimetus]],2,FALSE)</f>
        <v>Tammiku Kodu</v>
      </c>
      <c r="O1031" s="42"/>
      <c r="P1031" s="42"/>
      <c r="Q1031" s="53" t="str">
        <f>VLOOKUP(Table1[[#This Row],[Eelarvekonto]],Table5[[Konto]:[Kontode alanimetus]],5,FALSE)</f>
        <v>Majandamiskulud</v>
      </c>
      <c r="R1031" s="53" t="str">
        <f>VLOOKUP(Table1[[#This Row],[Tegevusala kood]],Table4[[Tegevusala kood]:[Tegevusala alanimetus]],4,FALSE)</f>
        <v>Eakate sotsiaalhoolekande asutused</v>
      </c>
      <c r="S1031" s="53"/>
      <c r="T1031" s="53"/>
      <c r="U1031" s="53">
        <f>Table1[[#This Row],[Summa]]+Table1[[#This Row],[I Muudatus]]+Table1[[#This Row],[II Muudatus]]</f>
        <v>180</v>
      </c>
    </row>
    <row r="1032" spans="1:21" ht="14.25" hidden="1" customHeight="1" x14ac:dyDescent="0.25">
      <c r="A1032" s="42" t="s">
        <v>322</v>
      </c>
      <c r="B1032" s="42">
        <v>216</v>
      </c>
      <c r="C1032" s="53">
        <v>5511</v>
      </c>
      <c r="D1032" s="53" t="str">
        <f>LEFT(Table1[[#This Row],[Eelarvekonto]],2)</f>
        <v>55</v>
      </c>
      <c r="E1032" s="42" t="str">
        <f>VLOOKUP(Table1[[#This Row],[Eelarvekonto]],Table5[[Konto]:[Konto nimetus]],2,FALSE)</f>
        <v>Kinnistute, hoonete ja ruumide majandamiskulud</v>
      </c>
      <c r="F1032" s="42" t="s">
        <v>139</v>
      </c>
      <c r="G1032" s="42" t="s">
        <v>24</v>
      </c>
      <c r="H1032" s="42"/>
      <c r="I1032" s="42"/>
      <c r="J1032" s="42" t="s">
        <v>167</v>
      </c>
      <c r="K1032" s="42" t="s">
        <v>165</v>
      </c>
      <c r="L1032" s="81" t="s">
        <v>166</v>
      </c>
      <c r="M1032" s="82" t="str">
        <f>LEFT(Table1[[#This Row],[Tegevusala kood]],2)</f>
        <v>10</v>
      </c>
      <c r="N1032" s="53" t="str">
        <f>VLOOKUP(Table1[[#This Row],[Tegevusala kood]],Table4[[Tegevusala kood]:[Tegevusala alanimetus]],2,FALSE)</f>
        <v>Tammiku Kodu</v>
      </c>
      <c r="O1032" s="42"/>
      <c r="P1032" s="42"/>
      <c r="Q1032" s="53" t="str">
        <f>VLOOKUP(Table1[[#This Row],[Eelarvekonto]],Table5[[Konto]:[Kontode alanimetus]],5,FALSE)</f>
        <v>Majandamiskulud</v>
      </c>
      <c r="R1032" s="53" t="str">
        <f>VLOOKUP(Table1[[#This Row],[Tegevusala kood]],Table4[[Tegevusala kood]:[Tegevusala alanimetus]],4,FALSE)</f>
        <v>Eakate sotsiaalhoolekande asutused</v>
      </c>
      <c r="S1032" s="53"/>
      <c r="T1032" s="53"/>
      <c r="U1032" s="53">
        <f>Table1[[#This Row],[Summa]]+Table1[[#This Row],[I Muudatus]]+Table1[[#This Row],[II Muudatus]]</f>
        <v>216</v>
      </c>
    </row>
    <row r="1033" spans="1:21" ht="14.25" hidden="1" customHeight="1" x14ac:dyDescent="0.25">
      <c r="A1033" s="42" t="s">
        <v>1256</v>
      </c>
      <c r="B1033" s="42">
        <v>2000</v>
      </c>
      <c r="C1033" s="53">
        <v>5511</v>
      </c>
      <c r="D1033" s="53" t="str">
        <f>LEFT(Table1[[#This Row],[Eelarvekonto]],2)</f>
        <v>55</v>
      </c>
      <c r="E1033" s="42" t="str">
        <f>VLOOKUP(Table1[[#This Row],[Eelarvekonto]],Table5[[Konto]:[Konto nimetus]],2,FALSE)</f>
        <v>Kinnistute, hoonete ja ruumide majandamiskulud</v>
      </c>
      <c r="F1033" s="42" t="s">
        <v>139</v>
      </c>
      <c r="G1033" s="42" t="s">
        <v>24</v>
      </c>
      <c r="H1033" s="42"/>
      <c r="I1033" s="42"/>
      <c r="J1033" s="42" t="s">
        <v>167</v>
      </c>
      <c r="K1033" s="42" t="s">
        <v>165</v>
      </c>
      <c r="L1033" s="81" t="s">
        <v>166</v>
      </c>
      <c r="M1033" s="82" t="str">
        <f>LEFT(Table1[[#This Row],[Tegevusala kood]],2)</f>
        <v>10</v>
      </c>
      <c r="N1033" s="53" t="str">
        <f>VLOOKUP(Table1[[#This Row],[Tegevusala kood]],Table4[[Tegevusala kood]:[Tegevusala alanimetus]],2,FALSE)</f>
        <v>Tammiku Kodu</v>
      </c>
      <c r="O1033" s="42"/>
      <c r="P1033" s="42"/>
      <c r="Q1033" s="53" t="str">
        <f>VLOOKUP(Table1[[#This Row],[Eelarvekonto]],Table5[[Konto]:[Kontode alanimetus]],5,FALSE)</f>
        <v>Majandamiskulud</v>
      </c>
      <c r="R1033" s="53" t="str">
        <f>VLOOKUP(Table1[[#This Row],[Tegevusala kood]],Table4[[Tegevusala kood]:[Tegevusala alanimetus]],4,FALSE)</f>
        <v>Eakate sotsiaalhoolekande asutused</v>
      </c>
      <c r="S1033" s="53"/>
      <c r="T1033" s="53"/>
      <c r="U1033" s="53">
        <f>Table1[[#This Row],[Summa]]+Table1[[#This Row],[I Muudatus]]+Table1[[#This Row],[II Muudatus]]</f>
        <v>2000</v>
      </c>
    </row>
    <row r="1034" spans="1:21" ht="14.25" hidden="1" customHeight="1" x14ac:dyDescent="0.25">
      <c r="A1034" s="42" t="s">
        <v>143</v>
      </c>
      <c r="B1034" s="42">
        <v>3280</v>
      </c>
      <c r="C1034" s="53">
        <v>5511</v>
      </c>
      <c r="D1034" s="53" t="str">
        <f>LEFT(Table1[[#This Row],[Eelarvekonto]],2)</f>
        <v>55</v>
      </c>
      <c r="E1034" s="42" t="str">
        <f>VLOOKUP(Table1[[#This Row],[Eelarvekonto]],Table5[[Konto]:[Konto nimetus]],2,FALSE)</f>
        <v>Kinnistute, hoonete ja ruumide majandamiskulud</v>
      </c>
      <c r="F1034" s="42" t="s">
        <v>139</v>
      </c>
      <c r="G1034" s="42" t="s">
        <v>24</v>
      </c>
      <c r="H1034" s="42"/>
      <c r="I1034" s="42"/>
      <c r="J1034" s="42" t="s">
        <v>167</v>
      </c>
      <c r="K1034" s="42" t="s">
        <v>165</v>
      </c>
      <c r="L1034" s="81" t="s">
        <v>166</v>
      </c>
      <c r="M1034" s="82" t="str">
        <f>LEFT(Table1[[#This Row],[Tegevusala kood]],2)</f>
        <v>10</v>
      </c>
      <c r="N1034" s="53" t="str">
        <f>VLOOKUP(Table1[[#This Row],[Tegevusala kood]],Table4[[Tegevusala kood]:[Tegevusala alanimetus]],2,FALSE)</f>
        <v>Tammiku Kodu</v>
      </c>
      <c r="O1034" s="42"/>
      <c r="P1034" s="42"/>
      <c r="Q1034" s="53" t="str">
        <f>VLOOKUP(Table1[[#This Row],[Eelarvekonto]],Table5[[Konto]:[Kontode alanimetus]],5,FALSE)</f>
        <v>Majandamiskulud</v>
      </c>
      <c r="R1034" s="53" t="str">
        <f>VLOOKUP(Table1[[#This Row],[Tegevusala kood]],Table4[[Tegevusala kood]:[Tegevusala alanimetus]],4,FALSE)</f>
        <v>Eakate sotsiaalhoolekande asutused</v>
      </c>
      <c r="S1034" s="53"/>
      <c r="T1034" s="53"/>
      <c r="U1034" s="53">
        <f>Table1[[#This Row],[Summa]]+Table1[[#This Row],[I Muudatus]]+Table1[[#This Row],[II Muudatus]]</f>
        <v>3280</v>
      </c>
    </row>
    <row r="1035" spans="1:21" ht="14.25" hidden="1" customHeight="1" x14ac:dyDescent="0.25">
      <c r="A1035" s="42" t="s">
        <v>1257</v>
      </c>
      <c r="B1035" s="42">
        <v>2592</v>
      </c>
      <c r="C1035" s="53">
        <v>5511</v>
      </c>
      <c r="D1035" s="53" t="str">
        <f>LEFT(Table1[[#This Row],[Eelarvekonto]],2)</f>
        <v>55</v>
      </c>
      <c r="E1035" s="42" t="str">
        <f>VLOOKUP(Table1[[#This Row],[Eelarvekonto]],Table5[[Konto]:[Konto nimetus]],2,FALSE)</f>
        <v>Kinnistute, hoonete ja ruumide majandamiskulud</v>
      </c>
      <c r="F1035" s="42" t="s">
        <v>139</v>
      </c>
      <c r="G1035" s="42" t="s">
        <v>24</v>
      </c>
      <c r="H1035" s="42"/>
      <c r="I1035" s="42"/>
      <c r="J1035" s="42" t="s">
        <v>167</v>
      </c>
      <c r="K1035" s="42" t="s">
        <v>165</v>
      </c>
      <c r="L1035" s="81" t="s">
        <v>166</v>
      </c>
      <c r="M1035" s="82" t="str">
        <f>LEFT(Table1[[#This Row],[Tegevusala kood]],2)</f>
        <v>10</v>
      </c>
      <c r="N1035" s="53" t="str">
        <f>VLOOKUP(Table1[[#This Row],[Tegevusala kood]],Table4[[Tegevusala kood]:[Tegevusala alanimetus]],2,FALSE)</f>
        <v>Tammiku Kodu</v>
      </c>
      <c r="O1035" s="42"/>
      <c r="P1035" s="42"/>
      <c r="Q1035" s="53" t="str">
        <f>VLOOKUP(Table1[[#This Row],[Eelarvekonto]],Table5[[Konto]:[Kontode alanimetus]],5,FALSE)</f>
        <v>Majandamiskulud</v>
      </c>
      <c r="R1035" s="53" t="str">
        <f>VLOOKUP(Table1[[#This Row],[Tegevusala kood]],Table4[[Tegevusala kood]:[Tegevusala alanimetus]],4,FALSE)</f>
        <v>Eakate sotsiaalhoolekande asutused</v>
      </c>
      <c r="S1035" s="53"/>
      <c r="T1035" s="53"/>
      <c r="U1035" s="53">
        <f>Table1[[#This Row],[Summa]]+Table1[[#This Row],[I Muudatus]]+Table1[[#This Row],[II Muudatus]]</f>
        <v>2592</v>
      </c>
    </row>
    <row r="1036" spans="1:21" ht="14.25" hidden="1" customHeight="1" x14ac:dyDescent="0.25">
      <c r="A1036" s="42" t="s">
        <v>149</v>
      </c>
      <c r="B1036" s="42">
        <v>5000</v>
      </c>
      <c r="C1036" s="53">
        <v>551101</v>
      </c>
      <c r="D1036" s="53" t="str">
        <f>LEFT(Table1[[#This Row],[Eelarvekonto]],2)</f>
        <v>55</v>
      </c>
      <c r="E1036" s="42" t="str">
        <f>VLOOKUP(Table1[[#This Row],[Eelarvekonto]],Table5[[Konto]:[Konto nimetus]],2,FALSE)</f>
        <v>Elekter</v>
      </c>
      <c r="F1036" s="42" t="s">
        <v>139</v>
      </c>
      <c r="G1036" s="42" t="s">
        <v>24</v>
      </c>
      <c r="H1036" s="42"/>
      <c r="I1036" s="42"/>
      <c r="J1036" s="42" t="s">
        <v>167</v>
      </c>
      <c r="K1036" s="42" t="s">
        <v>165</v>
      </c>
      <c r="L1036" s="81" t="s">
        <v>166</v>
      </c>
      <c r="M1036" s="82" t="str">
        <f>LEFT(Table1[[#This Row],[Tegevusala kood]],2)</f>
        <v>10</v>
      </c>
      <c r="N1036" s="53" t="str">
        <f>VLOOKUP(Table1[[#This Row],[Tegevusala kood]],Table4[[Tegevusala kood]:[Tegevusala alanimetus]],2,FALSE)</f>
        <v>Tammiku Kodu</v>
      </c>
      <c r="O1036" s="42"/>
      <c r="P1036" s="42"/>
      <c r="Q1036" s="53" t="str">
        <f>VLOOKUP(Table1[[#This Row],[Eelarvekonto]],Table5[[Konto]:[Kontode alanimetus]],5,FALSE)</f>
        <v>Majandamiskulud</v>
      </c>
      <c r="R1036" s="53" t="str">
        <f>VLOOKUP(Table1[[#This Row],[Tegevusala kood]],Table4[[Tegevusala kood]:[Tegevusala alanimetus]],4,FALSE)</f>
        <v>Eakate sotsiaalhoolekande asutused</v>
      </c>
      <c r="S1036" s="53"/>
      <c r="T1036" s="53"/>
      <c r="U1036" s="53">
        <f>Table1[[#This Row],[Summa]]+Table1[[#This Row],[I Muudatus]]+Table1[[#This Row],[II Muudatus]]</f>
        <v>5000</v>
      </c>
    </row>
    <row r="1037" spans="1:21" ht="14.25" hidden="1" customHeight="1" x14ac:dyDescent="0.25">
      <c r="A1037" s="42" t="s">
        <v>207</v>
      </c>
      <c r="B1037" s="42">
        <v>1860</v>
      </c>
      <c r="C1037" s="53">
        <v>5500</v>
      </c>
      <c r="D1037" s="53" t="str">
        <f>LEFT(Table1[[#This Row],[Eelarvekonto]],2)</f>
        <v>55</v>
      </c>
      <c r="E1037" s="42" t="str">
        <f>VLOOKUP(Table1[[#This Row],[Eelarvekonto]],Table5[[Konto]:[Konto nimetus]],2,FALSE)</f>
        <v>Administreerimiskulud</v>
      </c>
      <c r="F1037" s="42" t="s">
        <v>139</v>
      </c>
      <c r="G1037" s="42" t="s">
        <v>24</v>
      </c>
      <c r="H1037" s="42"/>
      <c r="I1037" s="42"/>
      <c r="J1037" s="42" t="s">
        <v>167</v>
      </c>
      <c r="K1037" s="42" t="s">
        <v>165</v>
      </c>
      <c r="L1037" s="81" t="s">
        <v>166</v>
      </c>
      <c r="M1037" s="82" t="str">
        <f>LEFT(Table1[[#This Row],[Tegevusala kood]],2)</f>
        <v>10</v>
      </c>
      <c r="N1037" s="53" t="str">
        <f>VLOOKUP(Table1[[#This Row],[Tegevusala kood]],Table4[[Tegevusala kood]:[Tegevusala alanimetus]],2,FALSE)</f>
        <v>Tammiku Kodu</v>
      </c>
      <c r="O1037" s="42"/>
      <c r="P1037" s="42"/>
      <c r="Q1037" s="53" t="str">
        <f>VLOOKUP(Table1[[#This Row],[Eelarvekonto]],Table5[[Konto]:[Kontode alanimetus]],5,FALSE)</f>
        <v>Majandamiskulud</v>
      </c>
      <c r="R1037" s="53" t="str">
        <f>VLOOKUP(Table1[[#This Row],[Tegevusala kood]],Table4[[Tegevusala kood]:[Tegevusala alanimetus]],4,FALSE)</f>
        <v>Eakate sotsiaalhoolekande asutused</v>
      </c>
      <c r="S1037" s="53"/>
      <c r="T1037" s="53"/>
      <c r="U1037" s="53">
        <f>Table1[[#This Row],[Summa]]+Table1[[#This Row],[I Muudatus]]+Table1[[#This Row],[II Muudatus]]</f>
        <v>1860</v>
      </c>
    </row>
    <row r="1038" spans="1:21" ht="14.25" hidden="1" customHeight="1" x14ac:dyDescent="0.25">
      <c r="A1038" s="42" t="s">
        <v>1114</v>
      </c>
      <c r="B1038" s="42">
        <v>170</v>
      </c>
      <c r="C1038" s="53">
        <v>5500</v>
      </c>
      <c r="D1038" s="53" t="str">
        <f>LEFT(Table1[[#This Row],[Eelarvekonto]],2)</f>
        <v>55</v>
      </c>
      <c r="E1038" s="42" t="str">
        <f>VLOOKUP(Table1[[#This Row],[Eelarvekonto]],Table5[[Konto]:[Konto nimetus]],2,FALSE)</f>
        <v>Administreerimiskulud</v>
      </c>
      <c r="F1038" s="42" t="s">
        <v>139</v>
      </c>
      <c r="G1038" s="42" t="s">
        <v>24</v>
      </c>
      <c r="H1038" s="42"/>
      <c r="I1038" s="42"/>
      <c r="J1038" s="42" t="s">
        <v>167</v>
      </c>
      <c r="K1038" s="42" t="s">
        <v>165</v>
      </c>
      <c r="L1038" s="81" t="s">
        <v>166</v>
      </c>
      <c r="M1038" s="82" t="str">
        <f>LEFT(Table1[[#This Row],[Tegevusala kood]],2)</f>
        <v>10</v>
      </c>
      <c r="N1038" s="53" t="str">
        <f>VLOOKUP(Table1[[#This Row],[Tegevusala kood]],Table4[[Tegevusala kood]:[Tegevusala alanimetus]],2,FALSE)</f>
        <v>Tammiku Kodu</v>
      </c>
      <c r="O1038" s="42"/>
      <c r="P1038" s="42"/>
      <c r="Q1038" s="53" t="str">
        <f>VLOOKUP(Table1[[#This Row],[Eelarvekonto]],Table5[[Konto]:[Kontode alanimetus]],5,FALSE)</f>
        <v>Majandamiskulud</v>
      </c>
      <c r="R1038" s="53" t="str">
        <f>VLOOKUP(Table1[[#This Row],[Tegevusala kood]],Table4[[Tegevusala kood]:[Tegevusala alanimetus]],4,FALSE)</f>
        <v>Eakate sotsiaalhoolekande asutused</v>
      </c>
      <c r="S1038" s="53"/>
      <c r="T1038" s="53"/>
      <c r="U1038" s="53">
        <f>Table1[[#This Row],[Summa]]+Table1[[#This Row],[I Muudatus]]+Table1[[#This Row],[II Muudatus]]</f>
        <v>170</v>
      </c>
    </row>
    <row r="1039" spans="1:21" ht="14.25" hidden="1" customHeight="1" x14ac:dyDescent="0.25">
      <c r="A1039" s="42" t="s">
        <v>156</v>
      </c>
      <c r="B1039" s="42">
        <v>7872</v>
      </c>
      <c r="C1039" s="53">
        <v>5005</v>
      </c>
      <c r="D1039" s="53" t="str">
        <f>LEFT(Table1[[#This Row],[Eelarvekonto]],2)</f>
        <v>50</v>
      </c>
      <c r="E1039" s="42" t="str">
        <f>VLOOKUP(Table1[[#This Row],[Eelarvekonto]],Table5[[Konto]:[Konto nimetus]],2,FALSE)</f>
        <v>Töötasud võlaõiguslike lepingute alusel</v>
      </c>
      <c r="F1039" s="42" t="s">
        <v>139</v>
      </c>
      <c r="G1039" s="42" t="s">
        <v>24</v>
      </c>
      <c r="H1039" s="42"/>
      <c r="I1039" s="42"/>
      <c r="J1039" s="42" t="s">
        <v>167</v>
      </c>
      <c r="K1039" s="42" t="s">
        <v>165</v>
      </c>
      <c r="L1039" s="81" t="s">
        <v>166</v>
      </c>
      <c r="M1039" s="82" t="str">
        <f>LEFT(Table1[[#This Row],[Tegevusala kood]],2)</f>
        <v>10</v>
      </c>
      <c r="N1039" s="53" t="str">
        <f>VLOOKUP(Table1[[#This Row],[Tegevusala kood]],Table4[[Tegevusala kood]:[Tegevusala alanimetus]],2,FALSE)</f>
        <v>Tammiku Kodu</v>
      </c>
      <c r="O1039" s="42"/>
      <c r="P1039" s="42"/>
      <c r="Q1039" s="53" t="str">
        <f>VLOOKUP(Table1[[#This Row],[Eelarvekonto]],Table5[[Konto]:[Kontode alanimetus]],5,FALSE)</f>
        <v>Tööjõukulud</v>
      </c>
      <c r="R1039" s="53" t="str">
        <f>VLOOKUP(Table1[[#This Row],[Tegevusala kood]],Table4[[Tegevusala kood]:[Tegevusala alanimetus]],4,FALSE)</f>
        <v>Eakate sotsiaalhoolekande asutused</v>
      </c>
      <c r="S1039" s="53"/>
      <c r="T1039" s="53"/>
      <c r="U1039" s="53">
        <f>Table1[[#This Row],[Summa]]+Table1[[#This Row],[I Muudatus]]+Table1[[#This Row],[II Muudatus]]</f>
        <v>7872</v>
      </c>
    </row>
    <row r="1040" spans="1:21" ht="14.25" hidden="1" customHeight="1" x14ac:dyDescent="0.25">
      <c r="A1040" s="42" t="s">
        <v>175</v>
      </c>
      <c r="B1040" s="42">
        <v>120</v>
      </c>
      <c r="C1040" s="53">
        <v>5526</v>
      </c>
      <c r="D1040" s="53" t="str">
        <f>LEFT(Table1[[#This Row],[Eelarvekonto]],2)</f>
        <v>55</v>
      </c>
      <c r="E1040" s="42" t="str">
        <f>VLOOKUP(Table1[[#This Row],[Eelarvekonto]],Table5[[Konto]:[Konto nimetus]],2,FALSE)</f>
        <v>Sotsiaalteenused</v>
      </c>
      <c r="F1040" s="42" t="s">
        <v>139</v>
      </c>
      <c r="G1040" s="42" t="s">
        <v>24</v>
      </c>
      <c r="H1040" s="42"/>
      <c r="I1040" s="42"/>
      <c r="J1040" s="42" t="s">
        <v>167</v>
      </c>
      <c r="K1040" s="42" t="s">
        <v>165</v>
      </c>
      <c r="L1040" s="81" t="s">
        <v>166</v>
      </c>
      <c r="M1040" s="82" t="str">
        <f>LEFT(Table1[[#This Row],[Tegevusala kood]],2)</f>
        <v>10</v>
      </c>
      <c r="N1040" s="53" t="str">
        <f>VLOOKUP(Table1[[#This Row],[Tegevusala kood]],Table4[[Tegevusala kood]:[Tegevusala alanimetus]],2,FALSE)</f>
        <v>Tammiku Kodu</v>
      </c>
      <c r="O1040" s="42"/>
      <c r="P1040" s="42"/>
      <c r="Q1040" s="53" t="str">
        <f>VLOOKUP(Table1[[#This Row],[Eelarvekonto]],Table5[[Konto]:[Kontode alanimetus]],5,FALSE)</f>
        <v>Majandamiskulud</v>
      </c>
      <c r="R1040" s="53" t="str">
        <f>VLOOKUP(Table1[[#This Row],[Tegevusala kood]],Table4[[Tegevusala kood]:[Tegevusala alanimetus]],4,FALSE)</f>
        <v>Eakate sotsiaalhoolekande asutused</v>
      </c>
      <c r="S1040" s="53"/>
      <c r="T1040" s="53"/>
      <c r="U1040" s="53">
        <f>Table1[[#This Row],[Summa]]+Table1[[#This Row],[I Muudatus]]+Table1[[#This Row],[II Muudatus]]</f>
        <v>120</v>
      </c>
    </row>
    <row r="1041" spans="1:21" ht="14.25" hidden="1" customHeight="1" x14ac:dyDescent="0.25">
      <c r="A1041" s="42" t="s">
        <v>1258</v>
      </c>
      <c r="B1041" s="42">
        <v>500</v>
      </c>
      <c r="C1041" s="53">
        <v>5525</v>
      </c>
      <c r="D1041" s="53" t="str">
        <f>LEFT(Table1[[#This Row],[Eelarvekonto]],2)</f>
        <v>55</v>
      </c>
      <c r="E1041" s="42" t="str">
        <f>VLOOKUP(Table1[[#This Row],[Eelarvekonto]],Table5[[Konto]:[Konto nimetus]],2,FALSE)</f>
        <v>Kommunikatsiooni-, kultuuri- ja vaba aja sisustamise kulud</v>
      </c>
      <c r="F1041" s="42" t="s">
        <v>139</v>
      </c>
      <c r="G1041" s="42" t="s">
        <v>24</v>
      </c>
      <c r="H1041" s="42"/>
      <c r="I1041" s="42"/>
      <c r="J1041" s="42" t="s">
        <v>167</v>
      </c>
      <c r="K1041" s="42" t="s">
        <v>165</v>
      </c>
      <c r="L1041" s="81" t="s">
        <v>166</v>
      </c>
      <c r="M1041" s="82" t="str">
        <f>LEFT(Table1[[#This Row],[Tegevusala kood]],2)</f>
        <v>10</v>
      </c>
      <c r="N1041" s="53" t="str">
        <f>VLOOKUP(Table1[[#This Row],[Tegevusala kood]],Table4[[Tegevusala kood]:[Tegevusala alanimetus]],2,FALSE)</f>
        <v>Tammiku Kodu</v>
      </c>
      <c r="O1041" s="42"/>
      <c r="P1041" s="42"/>
      <c r="Q1041" s="53" t="str">
        <f>VLOOKUP(Table1[[#This Row],[Eelarvekonto]],Table5[[Konto]:[Kontode alanimetus]],5,FALSE)</f>
        <v>Majandamiskulud</v>
      </c>
      <c r="R1041" s="53" t="str">
        <f>VLOOKUP(Table1[[#This Row],[Tegevusala kood]],Table4[[Tegevusala kood]:[Tegevusala alanimetus]],4,FALSE)</f>
        <v>Eakate sotsiaalhoolekande asutused</v>
      </c>
      <c r="S1041" s="53"/>
      <c r="T1041" s="53"/>
      <c r="U1041" s="53">
        <f>Table1[[#This Row],[Summa]]+Table1[[#This Row],[I Muudatus]]+Table1[[#This Row],[II Muudatus]]</f>
        <v>500</v>
      </c>
    </row>
    <row r="1042" spans="1:21" ht="14.25" hidden="1" customHeight="1" x14ac:dyDescent="0.25">
      <c r="A1042" s="42" t="s">
        <v>1178</v>
      </c>
      <c r="B1042" s="42">
        <v>200</v>
      </c>
      <c r="C1042" s="53">
        <v>5522</v>
      </c>
      <c r="D1042" s="53" t="str">
        <f>LEFT(Table1[[#This Row],[Eelarvekonto]],2)</f>
        <v>55</v>
      </c>
      <c r="E1042" s="42" t="str">
        <f>VLOOKUP(Table1[[#This Row],[Eelarvekonto]],Table5[[Konto]:[Konto nimetus]],2,FALSE)</f>
        <v>Meditsiinikulud ja hügieenikulud</v>
      </c>
      <c r="F1042" s="42" t="s">
        <v>139</v>
      </c>
      <c r="G1042" s="42" t="s">
        <v>24</v>
      </c>
      <c r="H1042" s="42"/>
      <c r="I1042" s="42"/>
      <c r="J1042" s="42" t="s">
        <v>167</v>
      </c>
      <c r="K1042" s="42" t="s">
        <v>165</v>
      </c>
      <c r="L1042" s="81" t="s">
        <v>166</v>
      </c>
      <c r="M1042" s="82" t="str">
        <f>LEFT(Table1[[#This Row],[Tegevusala kood]],2)</f>
        <v>10</v>
      </c>
      <c r="N1042" s="53" t="str">
        <f>VLOOKUP(Table1[[#This Row],[Tegevusala kood]],Table4[[Tegevusala kood]:[Tegevusala alanimetus]],2,FALSE)</f>
        <v>Tammiku Kodu</v>
      </c>
      <c r="O1042" s="42"/>
      <c r="P1042" s="42"/>
      <c r="Q1042" s="53" t="str">
        <f>VLOOKUP(Table1[[#This Row],[Eelarvekonto]],Table5[[Konto]:[Kontode alanimetus]],5,FALSE)</f>
        <v>Majandamiskulud</v>
      </c>
      <c r="R1042" s="53" t="str">
        <f>VLOOKUP(Table1[[#This Row],[Tegevusala kood]],Table4[[Tegevusala kood]:[Tegevusala alanimetus]],4,FALSE)</f>
        <v>Eakate sotsiaalhoolekande asutused</v>
      </c>
      <c r="S1042" s="53"/>
      <c r="T1042" s="53"/>
      <c r="U1042" s="53">
        <f>Table1[[#This Row],[Summa]]+Table1[[#This Row],[I Muudatus]]+Table1[[#This Row],[II Muudatus]]</f>
        <v>200</v>
      </c>
    </row>
    <row r="1043" spans="1:21" ht="14.25" hidden="1" customHeight="1" x14ac:dyDescent="0.25">
      <c r="A1043" s="42" t="s">
        <v>160</v>
      </c>
      <c r="B1043" s="42">
        <v>17374</v>
      </c>
      <c r="C1043" s="53">
        <v>5521</v>
      </c>
      <c r="D1043" s="53" t="str">
        <f>LEFT(Table1[[#This Row],[Eelarvekonto]],2)</f>
        <v>55</v>
      </c>
      <c r="E1043" s="42" t="str">
        <f>VLOOKUP(Table1[[#This Row],[Eelarvekonto]],Table5[[Konto]:[Konto nimetus]],2,FALSE)</f>
        <v>Toiduained ja toitlustusteenused</v>
      </c>
      <c r="F1043" s="42" t="s">
        <v>139</v>
      </c>
      <c r="G1043" s="42" t="s">
        <v>24</v>
      </c>
      <c r="H1043" s="42"/>
      <c r="I1043" s="42"/>
      <c r="J1043" s="42" t="s">
        <v>167</v>
      </c>
      <c r="K1043" s="42" t="s">
        <v>165</v>
      </c>
      <c r="L1043" s="81" t="s">
        <v>166</v>
      </c>
      <c r="M1043" s="82" t="str">
        <f>LEFT(Table1[[#This Row],[Tegevusala kood]],2)</f>
        <v>10</v>
      </c>
      <c r="N1043" s="53" t="str">
        <f>VLOOKUP(Table1[[#This Row],[Tegevusala kood]],Table4[[Tegevusala kood]:[Tegevusala alanimetus]],2,FALSE)</f>
        <v>Tammiku Kodu</v>
      </c>
      <c r="O1043" s="42"/>
      <c r="P1043" s="42"/>
      <c r="Q1043" s="53" t="str">
        <f>VLOOKUP(Table1[[#This Row],[Eelarvekonto]],Table5[[Konto]:[Kontode alanimetus]],5,FALSE)</f>
        <v>Majandamiskulud</v>
      </c>
      <c r="R1043" s="53" t="str">
        <f>VLOOKUP(Table1[[#This Row],[Tegevusala kood]],Table4[[Tegevusala kood]:[Tegevusala alanimetus]],4,FALSE)</f>
        <v>Eakate sotsiaalhoolekande asutused</v>
      </c>
      <c r="S1043" s="53"/>
      <c r="T1043" s="53"/>
      <c r="U1043" s="53">
        <f>Table1[[#This Row],[Summa]]+Table1[[#This Row],[I Muudatus]]+Table1[[#This Row],[II Muudatus]]</f>
        <v>17374</v>
      </c>
    </row>
    <row r="1044" spans="1:21" ht="14.25" hidden="1" customHeight="1" x14ac:dyDescent="0.25">
      <c r="A1044" s="42" t="s">
        <v>173</v>
      </c>
      <c r="B1044" s="42">
        <v>100</v>
      </c>
      <c r="C1044" s="53">
        <v>5513</v>
      </c>
      <c r="D1044" s="53" t="str">
        <f>LEFT(Table1[[#This Row],[Eelarvekonto]],2)</f>
        <v>55</v>
      </c>
      <c r="E1044" s="42" t="str">
        <f>VLOOKUP(Table1[[#This Row],[Eelarvekonto]],Table5[[Konto]:[Konto nimetus]],2,FALSE)</f>
        <v>Sõidukite ülalpidamise kulud</v>
      </c>
      <c r="F1044" s="42" t="s">
        <v>139</v>
      </c>
      <c r="G1044" s="42" t="s">
        <v>24</v>
      </c>
      <c r="H1044" s="42"/>
      <c r="I1044" s="42"/>
      <c r="J1044" s="42" t="s">
        <v>167</v>
      </c>
      <c r="K1044" s="42" t="s">
        <v>165</v>
      </c>
      <c r="L1044" s="81" t="s">
        <v>166</v>
      </c>
      <c r="M1044" s="82" t="str">
        <f>LEFT(Table1[[#This Row],[Tegevusala kood]],2)</f>
        <v>10</v>
      </c>
      <c r="N1044" s="53" t="str">
        <f>VLOOKUP(Table1[[#This Row],[Tegevusala kood]],Table4[[Tegevusala kood]:[Tegevusala alanimetus]],2,FALSE)</f>
        <v>Tammiku Kodu</v>
      </c>
      <c r="O1044" s="42"/>
      <c r="P1044" s="42"/>
      <c r="Q1044" s="53" t="str">
        <f>VLOOKUP(Table1[[#This Row],[Eelarvekonto]],Table5[[Konto]:[Kontode alanimetus]],5,FALSE)</f>
        <v>Majandamiskulud</v>
      </c>
      <c r="R1044" s="53" t="str">
        <f>VLOOKUP(Table1[[#This Row],[Tegevusala kood]],Table4[[Tegevusala kood]:[Tegevusala alanimetus]],4,FALSE)</f>
        <v>Eakate sotsiaalhoolekande asutused</v>
      </c>
      <c r="S1044" s="53"/>
      <c r="T1044" s="53"/>
      <c r="U1044" s="53">
        <f>Table1[[#This Row],[Summa]]+Table1[[#This Row],[I Muudatus]]+Table1[[#This Row],[II Muudatus]]</f>
        <v>100</v>
      </c>
    </row>
    <row r="1045" spans="1:21" ht="14.25" hidden="1" customHeight="1" x14ac:dyDescent="0.25">
      <c r="A1045" s="42" t="s">
        <v>196</v>
      </c>
      <c r="B1045" s="42">
        <v>1400</v>
      </c>
      <c r="C1045" s="53">
        <v>551100</v>
      </c>
      <c r="D1045" s="53" t="str">
        <f>LEFT(Table1[[#This Row],[Eelarvekonto]],2)</f>
        <v>55</v>
      </c>
      <c r="E1045" s="42" t="str">
        <f>VLOOKUP(Table1[[#This Row],[Eelarvekonto]],Table5[[Konto]:[Konto nimetus]],2,FALSE)</f>
        <v>Küte ja soojusenergia</v>
      </c>
      <c r="F1045" s="42" t="s">
        <v>139</v>
      </c>
      <c r="G1045" s="42" t="s">
        <v>24</v>
      </c>
      <c r="H1045" s="42"/>
      <c r="I1045" s="42"/>
      <c r="J1045" s="42" t="s">
        <v>167</v>
      </c>
      <c r="K1045" s="42" t="s">
        <v>165</v>
      </c>
      <c r="L1045" s="81" t="s">
        <v>166</v>
      </c>
      <c r="M1045" s="82" t="str">
        <f>LEFT(Table1[[#This Row],[Tegevusala kood]],2)</f>
        <v>10</v>
      </c>
      <c r="N1045" s="53" t="str">
        <f>VLOOKUP(Table1[[#This Row],[Tegevusala kood]],Table4[[Tegevusala kood]:[Tegevusala alanimetus]],2,FALSE)</f>
        <v>Tammiku Kodu</v>
      </c>
      <c r="O1045" s="42"/>
      <c r="P1045" s="42"/>
      <c r="Q1045" s="53" t="str">
        <f>VLOOKUP(Table1[[#This Row],[Eelarvekonto]],Table5[[Konto]:[Kontode alanimetus]],5,FALSE)</f>
        <v>Majandamiskulud</v>
      </c>
      <c r="R1045" s="53" t="str">
        <f>VLOOKUP(Table1[[#This Row],[Tegevusala kood]],Table4[[Tegevusala kood]:[Tegevusala alanimetus]],4,FALSE)</f>
        <v>Eakate sotsiaalhoolekande asutused</v>
      </c>
      <c r="S1045" s="53"/>
      <c r="T1045" s="53"/>
      <c r="U1045" s="53">
        <f>Table1[[#This Row],[Summa]]+Table1[[#This Row],[I Muudatus]]+Table1[[#This Row],[II Muudatus]]</f>
        <v>1400</v>
      </c>
    </row>
    <row r="1046" spans="1:21" ht="14.25" hidden="1" customHeight="1" x14ac:dyDescent="0.25">
      <c r="A1046" s="42" t="s">
        <v>1259</v>
      </c>
      <c r="B1046" s="42">
        <v>100</v>
      </c>
      <c r="C1046" s="53">
        <v>5504</v>
      </c>
      <c r="D1046" s="53" t="str">
        <f>LEFT(Table1[[#This Row],[Eelarvekonto]],2)</f>
        <v>55</v>
      </c>
      <c r="E1046" s="42" t="str">
        <f>VLOOKUP(Table1[[#This Row],[Eelarvekonto]],Table5[[Konto]:[Konto nimetus]],2,FALSE)</f>
        <v>Koolituskulud (sh koolituslähetus)</v>
      </c>
      <c r="F1046" s="42" t="s">
        <v>139</v>
      </c>
      <c r="G1046" s="42" t="s">
        <v>24</v>
      </c>
      <c r="H1046" s="42"/>
      <c r="I1046" s="42"/>
      <c r="J1046" s="42" t="s">
        <v>167</v>
      </c>
      <c r="K1046" s="42" t="s">
        <v>165</v>
      </c>
      <c r="L1046" s="81" t="s">
        <v>166</v>
      </c>
      <c r="M1046" s="82" t="str">
        <f>LEFT(Table1[[#This Row],[Tegevusala kood]],2)</f>
        <v>10</v>
      </c>
      <c r="N1046" s="53" t="str">
        <f>VLOOKUP(Table1[[#This Row],[Tegevusala kood]],Table4[[Tegevusala kood]:[Tegevusala alanimetus]],2,FALSE)</f>
        <v>Tammiku Kodu</v>
      </c>
      <c r="O1046" s="42"/>
      <c r="P1046" s="42"/>
      <c r="Q1046" s="53" t="str">
        <f>VLOOKUP(Table1[[#This Row],[Eelarvekonto]],Table5[[Konto]:[Kontode alanimetus]],5,FALSE)</f>
        <v>Majandamiskulud</v>
      </c>
      <c r="R1046" s="53" t="str">
        <f>VLOOKUP(Table1[[#This Row],[Tegevusala kood]],Table4[[Tegevusala kood]:[Tegevusala alanimetus]],4,FALSE)</f>
        <v>Eakate sotsiaalhoolekande asutused</v>
      </c>
      <c r="S1046" s="53"/>
      <c r="T1046" s="53"/>
      <c r="U1046" s="53">
        <f>Table1[[#This Row],[Summa]]+Table1[[#This Row],[I Muudatus]]+Table1[[#This Row],[II Muudatus]]</f>
        <v>100</v>
      </c>
    </row>
    <row r="1047" spans="1:21" ht="14.25" hidden="1" customHeight="1" x14ac:dyDescent="0.25">
      <c r="A1047" s="42" t="s">
        <v>1260</v>
      </c>
      <c r="B1047" s="42">
        <v>150</v>
      </c>
      <c r="C1047" s="53">
        <v>5500</v>
      </c>
      <c r="D1047" s="53" t="str">
        <f>LEFT(Table1[[#This Row],[Eelarvekonto]],2)</f>
        <v>55</v>
      </c>
      <c r="E1047" s="42" t="str">
        <f>VLOOKUP(Table1[[#This Row],[Eelarvekonto]],Table5[[Konto]:[Konto nimetus]],2,FALSE)</f>
        <v>Administreerimiskulud</v>
      </c>
      <c r="F1047" s="42" t="s">
        <v>139</v>
      </c>
      <c r="G1047" s="42" t="s">
        <v>24</v>
      </c>
      <c r="H1047" s="42"/>
      <c r="I1047" s="42"/>
      <c r="J1047" s="42" t="s">
        <v>167</v>
      </c>
      <c r="K1047" s="42" t="s">
        <v>165</v>
      </c>
      <c r="L1047" s="81" t="s">
        <v>166</v>
      </c>
      <c r="M1047" s="82" t="str">
        <f>LEFT(Table1[[#This Row],[Tegevusala kood]],2)</f>
        <v>10</v>
      </c>
      <c r="N1047" s="53" t="str">
        <f>VLOOKUP(Table1[[#This Row],[Tegevusala kood]],Table4[[Tegevusala kood]:[Tegevusala alanimetus]],2,FALSE)</f>
        <v>Tammiku Kodu</v>
      </c>
      <c r="O1047" s="42"/>
      <c r="P1047" s="42"/>
      <c r="Q1047" s="53" t="str">
        <f>VLOOKUP(Table1[[#This Row],[Eelarvekonto]],Table5[[Konto]:[Kontode alanimetus]],5,FALSE)</f>
        <v>Majandamiskulud</v>
      </c>
      <c r="R1047" s="53" t="str">
        <f>VLOOKUP(Table1[[#This Row],[Tegevusala kood]],Table4[[Tegevusala kood]:[Tegevusala alanimetus]],4,FALSE)</f>
        <v>Eakate sotsiaalhoolekande asutused</v>
      </c>
      <c r="S1047" s="53"/>
      <c r="T1047" s="53"/>
      <c r="U1047" s="53">
        <f>Table1[[#This Row],[Summa]]+Table1[[#This Row],[I Muudatus]]+Table1[[#This Row],[II Muudatus]]</f>
        <v>150</v>
      </c>
    </row>
    <row r="1048" spans="1:21" ht="14.25" hidden="1" customHeight="1" x14ac:dyDescent="0.25">
      <c r="A1048" s="42" t="s">
        <v>161</v>
      </c>
      <c r="B1048" s="42">
        <v>300</v>
      </c>
      <c r="C1048" s="53">
        <v>5515</v>
      </c>
      <c r="D1048" s="53" t="str">
        <f>LEFT(Table1[[#This Row],[Eelarvekonto]],2)</f>
        <v>55</v>
      </c>
      <c r="E1048" s="42" t="str">
        <f>VLOOKUP(Table1[[#This Row],[Eelarvekonto]],Table5[[Konto]:[Konto nimetus]],2,FALSE)</f>
        <v>Inventari majandamiskulud</v>
      </c>
      <c r="F1048" s="42" t="s">
        <v>139</v>
      </c>
      <c r="G1048" s="42" t="s">
        <v>24</v>
      </c>
      <c r="H1048" s="42"/>
      <c r="I1048" s="42"/>
      <c r="J1048" s="42" t="s">
        <v>258</v>
      </c>
      <c r="K1048" s="42" t="s">
        <v>256</v>
      </c>
      <c r="L1048" s="81" t="s">
        <v>257</v>
      </c>
      <c r="M1048" s="82" t="str">
        <f>LEFT(Table1[[#This Row],[Tegevusala kood]],2)</f>
        <v>09</v>
      </c>
      <c r="N1048" s="53" t="str">
        <f>VLOOKUP(Table1[[#This Row],[Tegevusala kood]],Table4[[Tegevusala kood]:[Tegevusala alanimetus]],2,FALSE)</f>
        <v>Tudu kool</v>
      </c>
      <c r="O1048" s="42"/>
      <c r="P1048" s="42"/>
      <c r="Q1048" s="53" t="str">
        <f>VLOOKUP(Table1[[#This Row],[Eelarvekonto]],Table5[[Konto]:[Kontode alanimetus]],5,FALSE)</f>
        <v>Majandamiskulud</v>
      </c>
      <c r="R1048" s="53" t="str">
        <f>VLOOKUP(Table1[[#This Row],[Tegevusala kood]],Table4[[Tegevusala kood]:[Tegevusala alanimetus]],4,FALSE)</f>
        <v>Põhihariduse otsekulud</v>
      </c>
      <c r="S1048" s="53"/>
      <c r="T1048" s="53"/>
      <c r="U1048" s="53">
        <f>Table1[[#This Row],[Summa]]+Table1[[#This Row],[I Muudatus]]+Table1[[#This Row],[II Muudatus]]</f>
        <v>300</v>
      </c>
    </row>
    <row r="1049" spans="1:21" ht="14.25" hidden="1" customHeight="1" x14ac:dyDescent="0.25">
      <c r="A1049" s="42" t="s">
        <v>173</v>
      </c>
      <c r="B1049" s="42">
        <v>100</v>
      </c>
      <c r="C1049" s="53">
        <v>5513</v>
      </c>
      <c r="D1049" s="53" t="str">
        <f>LEFT(Table1[[#This Row],[Eelarvekonto]],2)</f>
        <v>55</v>
      </c>
      <c r="E1049" s="42" t="str">
        <f>VLOOKUP(Table1[[#This Row],[Eelarvekonto]],Table5[[Konto]:[Konto nimetus]],2,FALSE)</f>
        <v>Sõidukite ülalpidamise kulud</v>
      </c>
      <c r="F1049" s="42" t="s">
        <v>139</v>
      </c>
      <c r="G1049" s="42" t="s">
        <v>24</v>
      </c>
      <c r="H1049" s="42"/>
      <c r="I1049" s="42"/>
      <c r="J1049" s="42" t="s">
        <v>258</v>
      </c>
      <c r="K1049" s="42" t="s">
        <v>256</v>
      </c>
      <c r="L1049" s="81" t="s">
        <v>257</v>
      </c>
      <c r="M1049" s="82" t="str">
        <f>LEFT(Table1[[#This Row],[Tegevusala kood]],2)</f>
        <v>09</v>
      </c>
      <c r="N1049" s="53" t="str">
        <f>VLOOKUP(Table1[[#This Row],[Tegevusala kood]],Table4[[Tegevusala kood]:[Tegevusala alanimetus]],2,FALSE)</f>
        <v>Tudu kool</v>
      </c>
      <c r="O1049" s="42"/>
      <c r="P1049" s="42"/>
      <c r="Q1049" s="53" t="str">
        <f>VLOOKUP(Table1[[#This Row],[Eelarvekonto]],Table5[[Konto]:[Kontode alanimetus]],5,FALSE)</f>
        <v>Majandamiskulud</v>
      </c>
      <c r="R1049" s="53" t="str">
        <f>VLOOKUP(Table1[[#This Row],[Tegevusala kood]],Table4[[Tegevusala kood]:[Tegevusala alanimetus]],4,FALSE)</f>
        <v>Põhihariduse otsekulud</v>
      </c>
      <c r="S1049" s="53"/>
      <c r="T1049" s="53"/>
      <c r="U1049" s="53">
        <f>Table1[[#This Row],[Summa]]+Table1[[#This Row],[I Muudatus]]+Table1[[#This Row],[II Muudatus]]</f>
        <v>100</v>
      </c>
    </row>
    <row r="1050" spans="1:21" ht="14.25" hidden="1" customHeight="1" x14ac:dyDescent="0.25">
      <c r="A1050" s="42" t="s">
        <v>197</v>
      </c>
      <c r="B1050" s="42">
        <v>150</v>
      </c>
      <c r="C1050" s="53">
        <v>5513081</v>
      </c>
      <c r="D1050" s="53" t="str">
        <f>LEFT(Table1[[#This Row],[Eelarvekonto]],2)</f>
        <v>55</v>
      </c>
      <c r="E1050" s="42" t="str">
        <f>VLOOKUP(Table1[[#This Row],[Eelarvekonto]],Table5[[Konto]:[Konto nimetus]],2,FALSE)</f>
        <v>Isikliku sõiduauto kompensatsioon</v>
      </c>
      <c r="F1050" s="42" t="s">
        <v>139</v>
      </c>
      <c r="G1050" s="42" t="s">
        <v>24</v>
      </c>
      <c r="H1050" s="42"/>
      <c r="I1050" s="42"/>
      <c r="J1050" s="42" t="s">
        <v>258</v>
      </c>
      <c r="K1050" s="42" t="s">
        <v>256</v>
      </c>
      <c r="L1050" s="81" t="s">
        <v>257</v>
      </c>
      <c r="M1050" s="82" t="str">
        <f>LEFT(Table1[[#This Row],[Tegevusala kood]],2)</f>
        <v>09</v>
      </c>
      <c r="N1050" s="53" t="str">
        <f>VLOOKUP(Table1[[#This Row],[Tegevusala kood]],Table4[[Tegevusala kood]:[Tegevusala alanimetus]],2,FALSE)</f>
        <v>Tudu kool</v>
      </c>
      <c r="O1050" s="42"/>
      <c r="P1050" s="42"/>
      <c r="Q1050" s="53" t="str">
        <f>VLOOKUP(Table1[[#This Row],[Eelarvekonto]],Table5[[Konto]:[Kontode alanimetus]],5,FALSE)</f>
        <v>Majandamiskulud</v>
      </c>
      <c r="R1050" s="53" t="str">
        <f>VLOOKUP(Table1[[#This Row],[Tegevusala kood]],Table4[[Tegevusala kood]:[Tegevusala alanimetus]],4,FALSE)</f>
        <v>Põhihariduse otsekulud</v>
      </c>
      <c r="S1050" s="53"/>
      <c r="T1050" s="53"/>
      <c r="U1050" s="53">
        <f>Table1[[#This Row],[Summa]]+Table1[[#This Row],[I Muudatus]]+Table1[[#This Row],[II Muudatus]]</f>
        <v>150</v>
      </c>
    </row>
    <row r="1051" spans="1:21" ht="14.25" hidden="1" customHeight="1" x14ac:dyDescent="0.25">
      <c r="A1051" s="42" t="s">
        <v>151</v>
      </c>
      <c r="B1051" s="42">
        <v>150</v>
      </c>
      <c r="C1051" s="53">
        <v>5522</v>
      </c>
      <c r="D1051" s="53" t="str">
        <f>LEFT(Table1[[#This Row],[Eelarvekonto]],2)</f>
        <v>55</v>
      </c>
      <c r="E1051" s="42" t="str">
        <f>VLOOKUP(Table1[[#This Row],[Eelarvekonto]],Table5[[Konto]:[Konto nimetus]],2,FALSE)</f>
        <v>Meditsiinikulud ja hügieenikulud</v>
      </c>
      <c r="F1051" s="42" t="s">
        <v>139</v>
      </c>
      <c r="G1051" s="42" t="s">
        <v>24</v>
      </c>
      <c r="H1051" s="42"/>
      <c r="I1051" s="42"/>
      <c r="J1051" s="42" t="s">
        <v>258</v>
      </c>
      <c r="K1051" s="42" t="s">
        <v>256</v>
      </c>
      <c r="L1051" s="81" t="s">
        <v>257</v>
      </c>
      <c r="M1051" s="82" t="str">
        <f>LEFT(Table1[[#This Row],[Tegevusala kood]],2)</f>
        <v>09</v>
      </c>
      <c r="N1051" s="53" t="str">
        <f>VLOOKUP(Table1[[#This Row],[Tegevusala kood]],Table4[[Tegevusala kood]:[Tegevusala alanimetus]],2,FALSE)</f>
        <v>Tudu kool</v>
      </c>
      <c r="O1051" s="42"/>
      <c r="P1051" s="42"/>
      <c r="Q1051" s="53" t="str">
        <f>VLOOKUP(Table1[[#This Row],[Eelarvekonto]],Table5[[Konto]:[Kontode alanimetus]],5,FALSE)</f>
        <v>Majandamiskulud</v>
      </c>
      <c r="R1051" s="53" t="str">
        <f>VLOOKUP(Table1[[#This Row],[Tegevusala kood]],Table4[[Tegevusala kood]:[Tegevusala alanimetus]],4,FALSE)</f>
        <v>Põhihariduse otsekulud</v>
      </c>
      <c r="S1051" s="53"/>
      <c r="T1051" s="53"/>
      <c r="U1051" s="53">
        <f>Table1[[#This Row],[Summa]]+Table1[[#This Row],[I Muudatus]]+Table1[[#This Row],[II Muudatus]]</f>
        <v>150</v>
      </c>
    </row>
    <row r="1052" spans="1:21" ht="14.25" hidden="1" customHeight="1" x14ac:dyDescent="0.25">
      <c r="A1052" s="42" t="s">
        <v>1163</v>
      </c>
      <c r="B1052" s="42">
        <v>500</v>
      </c>
      <c r="C1052" s="53">
        <v>5514</v>
      </c>
      <c r="D1052" s="53" t="str">
        <f>LEFT(Table1[[#This Row],[Eelarvekonto]],2)</f>
        <v>55</v>
      </c>
      <c r="E1052" s="42" t="str">
        <f>VLOOKUP(Table1[[#This Row],[Eelarvekonto]],Table5[[Konto]:[Konto nimetus]],2,FALSE)</f>
        <v>Info- ja kommunikatsioonitehnoloogia kulud</v>
      </c>
      <c r="F1052" s="42" t="s">
        <v>139</v>
      </c>
      <c r="G1052" s="42" t="s">
        <v>24</v>
      </c>
      <c r="H1052" s="42"/>
      <c r="I1052" s="42"/>
      <c r="J1052" s="42" t="s">
        <v>258</v>
      </c>
      <c r="K1052" s="42" t="s">
        <v>256</v>
      </c>
      <c r="L1052" s="81" t="s">
        <v>257</v>
      </c>
      <c r="M1052" s="82" t="str">
        <f>LEFT(Table1[[#This Row],[Tegevusala kood]],2)</f>
        <v>09</v>
      </c>
      <c r="N1052" s="53" t="str">
        <f>VLOOKUP(Table1[[#This Row],[Tegevusala kood]],Table4[[Tegevusala kood]:[Tegevusala alanimetus]],2,FALSE)</f>
        <v>Tudu kool</v>
      </c>
      <c r="O1052" s="42"/>
      <c r="P1052" s="42"/>
      <c r="Q1052" s="53" t="str">
        <f>VLOOKUP(Table1[[#This Row],[Eelarvekonto]],Table5[[Konto]:[Kontode alanimetus]],5,FALSE)</f>
        <v>Majandamiskulud</v>
      </c>
      <c r="R1052" s="53" t="str">
        <f>VLOOKUP(Table1[[#This Row],[Tegevusala kood]],Table4[[Tegevusala kood]:[Tegevusala alanimetus]],4,FALSE)</f>
        <v>Põhihariduse otsekulud</v>
      </c>
      <c r="S1052" s="53"/>
      <c r="T1052" s="53"/>
      <c r="U1052" s="53">
        <f>Table1[[#This Row],[Summa]]+Table1[[#This Row],[I Muudatus]]+Table1[[#This Row],[II Muudatus]]</f>
        <v>500</v>
      </c>
    </row>
    <row r="1053" spans="1:21" ht="14.25" hidden="1" customHeight="1" x14ac:dyDescent="0.25">
      <c r="A1053" s="42" t="s">
        <v>141</v>
      </c>
      <c r="B1053" s="42">
        <v>337.84</v>
      </c>
      <c r="C1053" s="53">
        <v>5525</v>
      </c>
      <c r="D1053" s="53" t="str">
        <f>LEFT(Table1[[#This Row],[Eelarvekonto]],2)</f>
        <v>55</v>
      </c>
      <c r="E1053" s="42" t="str">
        <f>VLOOKUP(Table1[[#This Row],[Eelarvekonto]],Table5[[Konto]:[Konto nimetus]],2,FALSE)</f>
        <v>Kommunikatsiooni-, kultuuri- ja vaba aja sisustamise kulud</v>
      </c>
      <c r="F1053" s="42" t="s">
        <v>139</v>
      </c>
      <c r="G1053" s="42" t="s">
        <v>24</v>
      </c>
      <c r="H1053" s="42"/>
      <c r="I1053" s="42"/>
      <c r="J1053" s="42" t="s">
        <v>258</v>
      </c>
      <c r="K1053" s="42" t="s">
        <v>256</v>
      </c>
      <c r="L1053" s="81" t="s">
        <v>257</v>
      </c>
      <c r="M1053" s="82" t="str">
        <f>LEFT(Table1[[#This Row],[Tegevusala kood]],2)</f>
        <v>09</v>
      </c>
      <c r="N1053" s="53" t="str">
        <f>VLOOKUP(Table1[[#This Row],[Tegevusala kood]],Table4[[Tegevusala kood]:[Tegevusala alanimetus]],2,FALSE)</f>
        <v>Tudu kool</v>
      </c>
      <c r="O1053" s="42"/>
      <c r="P1053" s="42"/>
      <c r="Q1053" s="53" t="str">
        <f>VLOOKUP(Table1[[#This Row],[Eelarvekonto]],Table5[[Konto]:[Kontode alanimetus]],5,FALSE)</f>
        <v>Majandamiskulud</v>
      </c>
      <c r="R1053" s="53" t="str">
        <f>VLOOKUP(Table1[[#This Row],[Tegevusala kood]],Table4[[Tegevusala kood]:[Tegevusala alanimetus]],4,FALSE)</f>
        <v>Põhihariduse otsekulud</v>
      </c>
      <c r="S1053" s="53"/>
      <c r="T1053" s="53"/>
      <c r="U1053" s="53">
        <f>Table1[[#This Row],[Summa]]+Table1[[#This Row],[I Muudatus]]+Table1[[#This Row],[II Muudatus]]</f>
        <v>337.84</v>
      </c>
    </row>
    <row r="1054" spans="1:21" ht="14.25" hidden="1" customHeight="1" x14ac:dyDescent="0.25">
      <c r="A1054" s="42" t="s">
        <v>253</v>
      </c>
      <c r="B1054" s="42">
        <v>4000</v>
      </c>
      <c r="C1054" s="53">
        <v>551300</v>
      </c>
      <c r="D1054" s="53" t="str">
        <f>LEFT(Table1[[#This Row],[Eelarvekonto]],2)</f>
        <v>55</v>
      </c>
      <c r="E1054" s="42" t="str">
        <f>VLOOKUP(Table1[[#This Row],[Eelarvekonto]],Table5[[Konto]:[Konto nimetus]],2,FALSE)</f>
        <v>Kütus</v>
      </c>
      <c r="F1054" s="42" t="s">
        <v>139</v>
      </c>
      <c r="G1054" s="42" t="s">
        <v>24</v>
      </c>
      <c r="H1054" s="42"/>
      <c r="I1054" s="42"/>
      <c r="J1054" s="42" t="s">
        <v>258</v>
      </c>
      <c r="K1054" s="42" t="s">
        <v>256</v>
      </c>
      <c r="L1054" s="81" t="s">
        <v>257</v>
      </c>
      <c r="M1054" s="82" t="str">
        <f>LEFT(Table1[[#This Row],[Tegevusala kood]],2)</f>
        <v>09</v>
      </c>
      <c r="N1054" s="53" t="str">
        <f>VLOOKUP(Table1[[#This Row],[Tegevusala kood]],Table4[[Tegevusala kood]:[Tegevusala alanimetus]],2,FALSE)</f>
        <v>Tudu kool</v>
      </c>
      <c r="O1054" s="42"/>
      <c r="P1054" s="42"/>
      <c r="Q1054" s="53" t="str">
        <f>VLOOKUP(Table1[[#This Row],[Eelarvekonto]],Table5[[Konto]:[Kontode alanimetus]],5,FALSE)</f>
        <v>Majandamiskulud</v>
      </c>
      <c r="R1054" s="53" t="str">
        <f>VLOOKUP(Table1[[#This Row],[Tegevusala kood]],Table4[[Tegevusala kood]:[Tegevusala alanimetus]],4,FALSE)</f>
        <v>Põhihariduse otsekulud</v>
      </c>
      <c r="S1054" s="53"/>
      <c r="T1054" s="53"/>
      <c r="U1054" s="53">
        <f>Table1[[#This Row],[Summa]]+Table1[[#This Row],[I Muudatus]]+Table1[[#This Row],[II Muudatus]]</f>
        <v>4000</v>
      </c>
    </row>
    <row r="1055" spans="1:21" ht="14.25" hidden="1" customHeight="1" x14ac:dyDescent="0.25">
      <c r="A1055" s="42" t="s">
        <v>142</v>
      </c>
      <c r="B1055" s="42">
        <v>3500</v>
      </c>
      <c r="C1055" s="53">
        <v>5511</v>
      </c>
      <c r="D1055" s="53" t="str">
        <f>LEFT(Table1[[#This Row],[Eelarvekonto]],2)</f>
        <v>55</v>
      </c>
      <c r="E1055" s="42" t="str">
        <f>VLOOKUP(Table1[[#This Row],[Eelarvekonto]],Table5[[Konto]:[Konto nimetus]],2,FALSE)</f>
        <v>Kinnistute, hoonete ja ruumide majandamiskulud</v>
      </c>
      <c r="F1055" s="42" t="s">
        <v>139</v>
      </c>
      <c r="G1055" s="42" t="s">
        <v>24</v>
      </c>
      <c r="H1055" s="42"/>
      <c r="I1055" s="42"/>
      <c r="J1055" s="42" t="s">
        <v>258</v>
      </c>
      <c r="K1055" s="42" t="s">
        <v>256</v>
      </c>
      <c r="L1055" s="81" t="s">
        <v>257</v>
      </c>
      <c r="M1055" s="82" t="str">
        <f>LEFT(Table1[[#This Row],[Tegevusala kood]],2)</f>
        <v>09</v>
      </c>
      <c r="N1055" s="53" t="str">
        <f>VLOOKUP(Table1[[#This Row],[Tegevusala kood]],Table4[[Tegevusala kood]:[Tegevusala alanimetus]],2,FALSE)</f>
        <v>Tudu kool</v>
      </c>
      <c r="O1055" s="42"/>
      <c r="P1055" s="42"/>
      <c r="Q1055" s="53" t="str">
        <f>VLOOKUP(Table1[[#This Row],[Eelarvekonto]],Table5[[Konto]:[Kontode alanimetus]],5,FALSE)</f>
        <v>Majandamiskulud</v>
      </c>
      <c r="R1055" s="53" t="str">
        <f>VLOOKUP(Table1[[#This Row],[Tegevusala kood]],Table4[[Tegevusala kood]:[Tegevusala alanimetus]],4,FALSE)</f>
        <v>Põhihariduse otsekulud</v>
      </c>
      <c r="S1055" s="53"/>
      <c r="T1055" s="53"/>
      <c r="U1055" s="53">
        <f>Table1[[#This Row],[Summa]]+Table1[[#This Row],[I Muudatus]]+Table1[[#This Row],[II Muudatus]]</f>
        <v>3500</v>
      </c>
    </row>
    <row r="1056" spans="1:21" ht="14.25" hidden="1" customHeight="1" x14ac:dyDescent="0.25">
      <c r="A1056" s="42" t="s">
        <v>140</v>
      </c>
      <c r="B1056" s="42">
        <v>350</v>
      </c>
      <c r="C1056" s="53">
        <v>5504</v>
      </c>
      <c r="D1056" s="53" t="str">
        <f>LEFT(Table1[[#This Row],[Eelarvekonto]],2)</f>
        <v>55</v>
      </c>
      <c r="E1056" s="42" t="str">
        <f>VLOOKUP(Table1[[#This Row],[Eelarvekonto]],Table5[[Konto]:[Konto nimetus]],2,FALSE)</f>
        <v>Koolituskulud (sh koolituslähetus)</v>
      </c>
      <c r="F1056" s="42" t="s">
        <v>139</v>
      </c>
      <c r="G1056" s="42" t="s">
        <v>24</v>
      </c>
      <c r="H1056" s="42"/>
      <c r="I1056" s="42"/>
      <c r="J1056" s="42" t="s">
        <v>258</v>
      </c>
      <c r="K1056" s="42" t="s">
        <v>256</v>
      </c>
      <c r="L1056" s="81" t="s">
        <v>257</v>
      </c>
      <c r="M1056" s="82" t="str">
        <f>LEFT(Table1[[#This Row],[Tegevusala kood]],2)</f>
        <v>09</v>
      </c>
      <c r="N1056" s="53" t="str">
        <f>VLOOKUP(Table1[[#This Row],[Tegevusala kood]],Table4[[Tegevusala kood]:[Tegevusala alanimetus]],2,FALSE)</f>
        <v>Tudu kool</v>
      </c>
      <c r="O1056" s="42"/>
      <c r="P1056" s="42"/>
      <c r="Q1056" s="53" t="str">
        <f>VLOOKUP(Table1[[#This Row],[Eelarvekonto]],Table5[[Konto]:[Kontode alanimetus]],5,FALSE)</f>
        <v>Majandamiskulud</v>
      </c>
      <c r="R1056" s="53" t="str">
        <f>VLOOKUP(Table1[[#This Row],[Tegevusala kood]],Table4[[Tegevusala kood]:[Tegevusala alanimetus]],4,FALSE)</f>
        <v>Põhihariduse otsekulud</v>
      </c>
      <c r="S1056" s="53"/>
      <c r="T1056" s="53"/>
      <c r="U1056" s="53">
        <f>Table1[[#This Row],[Summa]]+Table1[[#This Row],[I Muudatus]]+Table1[[#This Row],[II Muudatus]]</f>
        <v>350</v>
      </c>
    </row>
    <row r="1057" spans="1:21" ht="14.25" hidden="1" customHeight="1" x14ac:dyDescent="0.25">
      <c r="A1057" s="42" t="s">
        <v>144</v>
      </c>
      <c r="B1057" s="42">
        <v>3500</v>
      </c>
      <c r="C1057" s="53">
        <v>5500</v>
      </c>
      <c r="D1057" s="53" t="str">
        <f>LEFT(Table1[[#This Row],[Eelarvekonto]],2)</f>
        <v>55</v>
      </c>
      <c r="E1057" s="42" t="str">
        <f>VLOOKUP(Table1[[#This Row],[Eelarvekonto]],Table5[[Konto]:[Konto nimetus]],2,FALSE)</f>
        <v>Administreerimiskulud</v>
      </c>
      <c r="F1057" s="42" t="s">
        <v>139</v>
      </c>
      <c r="G1057" s="42" t="s">
        <v>24</v>
      </c>
      <c r="H1057" s="42"/>
      <c r="I1057" s="42"/>
      <c r="J1057" s="42" t="s">
        <v>258</v>
      </c>
      <c r="K1057" s="42" t="s">
        <v>256</v>
      </c>
      <c r="L1057" s="81" t="s">
        <v>257</v>
      </c>
      <c r="M1057" s="82" t="str">
        <f>LEFT(Table1[[#This Row],[Tegevusala kood]],2)</f>
        <v>09</v>
      </c>
      <c r="N1057" s="53" t="str">
        <f>VLOOKUP(Table1[[#This Row],[Tegevusala kood]],Table4[[Tegevusala kood]:[Tegevusala alanimetus]],2,FALSE)</f>
        <v>Tudu kool</v>
      </c>
      <c r="O1057" s="42"/>
      <c r="P1057" s="42"/>
      <c r="Q1057" s="53" t="str">
        <f>VLOOKUP(Table1[[#This Row],[Eelarvekonto]],Table5[[Konto]:[Kontode alanimetus]],5,FALSE)</f>
        <v>Majandamiskulud</v>
      </c>
      <c r="R1057" s="53" t="str">
        <f>VLOOKUP(Table1[[#This Row],[Tegevusala kood]],Table4[[Tegevusala kood]:[Tegevusala alanimetus]],4,FALSE)</f>
        <v>Põhihariduse otsekulud</v>
      </c>
      <c r="S1057" s="53"/>
      <c r="T1057" s="53"/>
      <c r="U1057" s="53">
        <f>Table1[[#This Row],[Summa]]+Table1[[#This Row],[I Muudatus]]+Table1[[#This Row],[II Muudatus]]</f>
        <v>3500</v>
      </c>
    </row>
    <row r="1058" spans="1:21" ht="14.25" hidden="1" customHeight="1" x14ac:dyDescent="0.25">
      <c r="A1058" s="42" t="s">
        <v>1163</v>
      </c>
      <c r="B1058" s="42">
        <v>283</v>
      </c>
      <c r="C1058" s="53">
        <v>5514</v>
      </c>
      <c r="D1058" s="53" t="str">
        <f>LEFT(Table1[[#This Row],[Eelarvekonto]],2)</f>
        <v>55</v>
      </c>
      <c r="E1058" s="42" t="str">
        <f>VLOOKUP(Table1[[#This Row],[Eelarvekonto]],Table5[[Konto]:[Konto nimetus]],2,FALSE)</f>
        <v>Info- ja kommunikatsioonitehnoloogia kulud</v>
      </c>
      <c r="F1058" s="42" t="s">
        <v>139</v>
      </c>
      <c r="G1058" s="42" t="s">
        <v>24</v>
      </c>
      <c r="H1058" s="42"/>
      <c r="I1058" s="42"/>
      <c r="J1058" s="42" t="s">
        <v>200</v>
      </c>
      <c r="K1058" s="42" t="s">
        <v>100</v>
      </c>
      <c r="L1058" s="81" t="s">
        <v>199</v>
      </c>
      <c r="M1058" s="82" t="str">
        <f>LEFT(Table1[[#This Row],[Tegevusala kood]],2)</f>
        <v>08</v>
      </c>
      <c r="N1058" s="53" t="str">
        <f>VLOOKUP(Table1[[#This Row],[Tegevusala kood]],Table4[[Tegevusala kood]:[Tegevusala alanimetus]],2,FALSE)</f>
        <v>Ulvi Klubi</v>
      </c>
      <c r="O1058" s="42"/>
      <c r="P1058" s="42"/>
      <c r="Q1058" s="53" t="str">
        <f>VLOOKUP(Table1[[#This Row],[Eelarvekonto]],Table5[[Konto]:[Kontode alanimetus]],5,FALSE)</f>
        <v>Majandamiskulud</v>
      </c>
      <c r="R1058" s="53" t="str">
        <f>VLOOKUP(Table1[[#This Row],[Tegevusala kood]],Table4[[Tegevusala kood]:[Tegevusala alanimetus]],4,FALSE)</f>
        <v>Rahvakultuur</v>
      </c>
      <c r="S1058" s="53"/>
      <c r="T1058" s="53"/>
      <c r="U1058" s="53">
        <f>Table1[[#This Row],[Summa]]+Table1[[#This Row],[I Muudatus]]+Table1[[#This Row],[II Muudatus]]</f>
        <v>283</v>
      </c>
    </row>
    <row r="1059" spans="1:21" ht="14.25" hidden="1" customHeight="1" x14ac:dyDescent="0.25">
      <c r="A1059" s="42" t="s">
        <v>1261</v>
      </c>
      <c r="B1059" s="42">
        <v>300</v>
      </c>
      <c r="C1059" s="53">
        <v>5511</v>
      </c>
      <c r="D1059" s="53" t="str">
        <f>LEFT(Table1[[#This Row],[Eelarvekonto]],2)</f>
        <v>55</v>
      </c>
      <c r="E1059" s="42" t="str">
        <f>VLOOKUP(Table1[[#This Row],[Eelarvekonto]],Table5[[Konto]:[Konto nimetus]],2,FALSE)</f>
        <v>Kinnistute, hoonete ja ruumide majandamiskulud</v>
      </c>
      <c r="F1059" s="42" t="s">
        <v>139</v>
      </c>
      <c r="G1059" s="42" t="s">
        <v>24</v>
      </c>
      <c r="H1059" s="42"/>
      <c r="I1059" s="42"/>
      <c r="J1059" s="42" t="s">
        <v>200</v>
      </c>
      <c r="K1059" s="42" t="s">
        <v>100</v>
      </c>
      <c r="L1059" s="81" t="s">
        <v>199</v>
      </c>
      <c r="M1059" s="82" t="str">
        <f>LEFT(Table1[[#This Row],[Tegevusala kood]],2)</f>
        <v>08</v>
      </c>
      <c r="N1059" s="53" t="str">
        <f>VLOOKUP(Table1[[#This Row],[Tegevusala kood]],Table4[[Tegevusala kood]:[Tegevusala alanimetus]],2,FALSE)</f>
        <v>Ulvi Klubi</v>
      </c>
      <c r="O1059" s="42"/>
      <c r="P1059" s="42"/>
      <c r="Q1059" s="53" t="str">
        <f>VLOOKUP(Table1[[#This Row],[Eelarvekonto]],Table5[[Konto]:[Kontode alanimetus]],5,FALSE)</f>
        <v>Majandamiskulud</v>
      </c>
      <c r="R1059" s="53" t="str">
        <f>VLOOKUP(Table1[[#This Row],[Tegevusala kood]],Table4[[Tegevusala kood]:[Tegevusala alanimetus]],4,FALSE)</f>
        <v>Rahvakultuur</v>
      </c>
      <c r="S1059" s="53"/>
      <c r="T1059" s="53"/>
      <c r="U1059" s="53">
        <f>Table1[[#This Row],[Summa]]+Table1[[#This Row],[I Muudatus]]+Table1[[#This Row],[II Muudatus]]</f>
        <v>300</v>
      </c>
    </row>
    <row r="1060" spans="1:21" ht="14.25" hidden="1" customHeight="1" x14ac:dyDescent="0.25">
      <c r="A1060" s="42" t="s">
        <v>1262</v>
      </c>
      <c r="B1060" s="42">
        <v>210</v>
      </c>
      <c r="C1060" s="53">
        <v>5511</v>
      </c>
      <c r="D1060" s="53" t="str">
        <f>LEFT(Table1[[#This Row],[Eelarvekonto]],2)</f>
        <v>55</v>
      </c>
      <c r="E1060" s="42" t="str">
        <f>VLOOKUP(Table1[[#This Row],[Eelarvekonto]],Table5[[Konto]:[Konto nimetus]],2,FALSE)</f>
        <v>Kinnistute, hoonete ja ruumide majandamiskulud</v>
      </c>
      <c r="F1060" s="42" t="s">
        <v>139</v>
      </c>
      <c r="G1060" s="42" t="s">
        <v>24</v>
      </c>
      <c r="H1060" s="42"/>
      <c r="I1060" s="42"/>
      <c r="J1060" s="42" t="s">
        <v>200</v>
      </c>
      <c r="K1060" s="42" t="s">
        <v>100</v>
      </c>
      <c r="L1060" s="81" t="s">
        <v>199</v>
      </c>
      <c r="M1060" s="82" t="str">
        <f>LEFT(Table1[[#This Row],[Tegevusala kood]],2)</f>
        <v>08</v>
      </c>
      <c r="N1060" s="53" t="str">
        <f>VLOOKUP(Table1[[#This Row],[Tegevusala kood]],Table4[[Tegevusala kood]:[Tegevusala alanimetus]],2,FALSE)</f>
        <v>Ulvi Klubi</v>
      </c>
      <c r="O1060" s="42"/>
      <c r="P1060" s="42"/>
      <c r="Q1060" s="53" t="str">
        <f>VLOOKUP(Table1[[#This Row],[Eelarvekonto]],Table5[[Konto]:[Kontode alanimetus]],5,FALSE)</f>
        <v>Majandamiskulud</v>
      </c>
      <c r="R1060" s="53" t="str">
        <f>VLOOKUP(Table1[[#This Row],[Tegevusala kood]],Table4[[Tegevusala kood]:[Tegevusala alanimetus]],4,FALSE)</f>
        <v>Rahvakultuur</v>
      </c>
      <c r="S1060" s="53"/>
      <c r="T1060" s="53"/>
      <c r="U1060" s="53">
        <f>Table1[[#This Row],[Summa]]+Table1[[#This Row],[I Muudatus]]+Table1[[#This Row],[II Muudatus]]</f>
        <v>210</v>
      </c>
    </row>
    <row r="1061" spans="1:21" ht="14.25" hidden="1" customHeight="1" x14ac:dyDescent="0.25">
      <c r="A1061" s="42" t="s">
        <v>1263</v>
      </c>
      <c r="B1061" s="42">
        <v>100</v>
      </c>
      <c r="C1061" s="53">
        <v>5511</v>
      </c>
      <c r="D1061" s="53" t="str">
        <f>LEFT(Table1[[#This Row],[Eelarvekonto]],2)</f>
        <v>55</v>
      </c>
      <c r="E1061" s="42" t="str">
        <f>VLOOKUP(Table1[[#This Row],[Eelarvekonto]],Table5[[Konto]:[Konto nimetus]],2,FALSE)</f>
        <v>Kinnistute, hoonete ja ruumide majandamiskulud</v>
      </c>
      <c r="F1061" s="42" t="s">
        <v>139</v>
      </c>
      <c r="G1061" s="42" t="s">
        <v>24</v>
      </c>
      <c r="H1061" s="42"/>
      <c r="I1061" s="42"/>
      <c r="J1061" s="42" t="s">
        <v>200</v>
      </c>
      <c r="K1061" s="42" t="s">
        <v>100</v>
      </c>
      <c r="L1061" s="81" t="s">
        <v>199</v>
      </c>
      <c r="M1061" s="82" t="str">
        <f>LEFT(Table1[[#This Row],[Tegevusala kood]],2)</f>
        <v>08</v>
      </c>
      <c r="N1061" s="53" t="str">
        <f>VLOOKUP(Table1[[#This Row],[Tegevusala kood]],Table4[[Tegevusala kood]:[Tegevusala alanimetus]],2,FALSE)</f>
        <v>Ulvi Klubi</v>
      </c>
      <c r="O1061" s="42"/>
      <c r="P1061" s="42"/>
      <c r="Q1061" s="53" t="str">
        <f>VLOOKUP(Table1[[#This Row],[Eelarvekonto]],Table5[[Konto]:[Kontode alanimetus]],5,FALSE)</f>
        <v>Majandamiskulud</v>
      </c>
      <c r="R1061" s="53" t="str">
        <f>VLOOKUP(Table1[[#This Row],[Tegevusala kood]],Table4[[Tegevusala kood]:[Tegevusala alanimetus]],4,FALSE)</f>
        <v>Rahvakultuur</v>
      </c>
      <c r="S1061" s="53"/>
      <c r="T1061" s="53"/>
      <c r="U1061" s="53">
        <f>Table1[[#This Row],[Summa]]+Table1[[#This Row],[I Muudatus]]+Table1[[#This Row],[II Muudatus]]</f>
        <v>100</v>
      </c>
    </row>
    <row r="1062" spans="1:21" ht="14.25" hidden="1" customHeight="1" x14ac:dyDescent="0.25">
      <c r="A1062" s="42" t="s">
        <v>1264</v>
      </c>
      <c r="B1062" s="42">
        <v>200</v>
      </c>
      <c r="C1062" s="53">
        <v>5511</v>
      </c>
      <c r="D1062" s="53" t="str">
        <f>LEFT(Table1[[#This Row],[Eelarvekonto]],2)</f>
        <v>55</v>
      </c>
      <c r="E1062" s="42" t="str">
        <f>VLOOKUP(Table1[[#This Row],[Eelarvekonto]],Table5[[Konto]:[Konto nimetus]],2,FALSE)</f>
        <v>Kinnistute, hoonete ja ruumide majandamiskulud</v>
      </c>
      <c r="F1062" s="42" t="s">
        <v>139</v>
      </c>
      <c r="G1062" s="42" t="s">
        <v>24</v>
      </c>
      <c r="H1062" s="42"/>
      <c r="I1062" s="42"/>
      <c r="J1062" s="42" t="s">
        <v>200</v>
      </c>
      <c r="K1062" s="42" t="s">
        <v>100</v>
      </c>
      <c r="L1062" s="81" t="s">
        <v>199</v>
      </c>
      <c r="M1062" s="82" t="str">
        <f>LEFT(Table1[[#This Row],[Tegevusala kood]],2)</f>
        <v>08</v>
      </c>
      <c r="N1062" s="53" t="str">
        <f>VLOOKUP(Table1[[#This Row],[Tegevusala kood]],Table4[[Tegevusala kood]:[Tegevusala alanimetus]],2,FALSE)</f>
        <v>Ulvi Klubi</v>
      </c>
      <c r="O1062" s="42"/>
      <c r="P1062" s="42"/>
      <c r="Q1062" s="53" t="str">
        <f>VLOOKUP(Table1[[#This Row],[Eelarvekonto]],Table5[[Konto]:[Kontode alanimetus]],5,FALSE)</f>
        <v>Majandamiskulud</v>
      </c>
      <c r="R1062" s="53" t="str">
        <f>VLOOKUP(Table1[[#This Row],[Tegevusala kood]],Table4[[Tegevusala kood]:[Tegevusala alanimetus]],4,FALSE)</f>
        <v>Rahvakultuur</v>
      </c>
      <c r="S1062" s="53"/>
      <c r="T1062" s="53"/>
      <c r="U1062" s="53">
        <f>Table1[[#This Row],[Summa]]+Table1[[#This Row],[I Muudatus]]+Table1[[#This Row],[II Muudatus]]</f>
        <v>200</v>
      </c>
    </row>
    <row r="1063" spans="1:21" ht="14.25" hidden="1" customHeight="1" x14ac:dyDescent="0.25">
      <c r="A1063" s="42" t="s">
        <v>151</v>
      </c>
      <c r="B1063" s="42">
        <v>100</v>
      </c>
      <c r="C1063" s="53">
        <v>5522</v>
      </c>
      <c r="D1063" s="53" t="str">
        <f>LEFT(Table1[[#This Row],[Eelarvekonto]],2)</f>
        <v>55</v>
      </c>
      <c r="E1063" s="42" t="str">
        <f>VLOOKUP(Table1[[#This Row],[Eelarvekonto]],Table5[[Konto]:[Konto nimetus]],2,FALSE)</f>
        <v>Meditsiinikulud ja hügieenikulud</v>
      </c>
      <c r="F1063" s="42" t="s">
        <v>139</v>
      </c>
      <c r="G1063" s="42" t="s">
        <v>24</v>
      </c>
      <c r="H1063" s="42"/>
      <c r="I1063" s="42"/>
      <c r="J1063" s="42" t="s">
        <v>200</v>
      </c>
      <c r="K1063" s="42" t="s">
        <v>100</v>
      </c>
      <c r="L1063" s="81" t="s">
        <v>199</v>
      </c>
      <c r="M1063" s="82" t="str">
        <f>LEFT(Table1[[#This Row],[Tegevusala kood]],2)</f>
        <v>08</v>
      </c>
      <c r="N1063" s="53" t="str">
        <f>VLOOKUP(Table1[[#This Row],[Tegevusala kood]],Table4[[Tegevusala kood]:[Tegevusala alanimetus]],2,FALSE)</f>
        <v>Ulvi Klubi</v>
      </c>
      <c r="O1063" s="42"/>
      <c r="P1063" s="42"/>
      <c r="Q1063" s="53" t="str">
        <f>VLOOKUP(Table1[[#This Row],[Eelarvekonto]],Table5[[Konto]:[Kontode alanimetus]],5,FALSE)</f>
        <v>Majandamiskulud</v>
      </c>
      <c r="R1063" s="53" t="str">
        <f>VLOOKUP(Table1[[#This Row],[Tegevusala kood]],Table4[[Tegevusala kood]:[Tegevusala alanimetus]],4,FALSE)</f>
        <v>Rahvakultuur</v>
      </c>
      <c r="S1063" s="53"/>
      <c r="T1063" s="53"/>
      <c r="U1063" s="53">
        <f>Table1[[#This Row],[Summa]]+Table1[[#This Row],[I Muudatus]]+Table1[[#This Row],[II Muudatus]]</f>
        <v>100</v>
      </c>
    </row>
    <row r="1064" spans="1:21" ht="14.25" hidden="1" customHeight="1" x14ac:dyDescent="0.25">
      <c r="A1064" s="42" t="s">
        <v>161</v>
      </c>
      <c r="B1064" s="42">
        <v>400</v>
      </c>
      <c r="C1064" s="53">
        <v>5515</v>
      </c>
      <c r="D1064" s="53" t="str">
        <f>LEFT(Table1[[#This Row],[Eelarvekonto]],2)</f>
        <v>55</v>
      </c>
      <c r="E1064" s="42" t="str">
        <f>VLOOKUP(Table1[[#This Row],[Eelarvekonto]],Table5[[Konto]:[Konto nimetus]],2,FALSE)</f>
        <v>Inventari majandamiskulud</v>
      </c>
      <c r="F1064" s="42" t="s">
        <v>139</v>
      </c>
      <c r="G1064" s="42" t="s">
        <v>24</v>
      </c>
      <c r="H1064" s="42"/>
      <c r="I1064" s="42"/>
      <c r="J1064" s="42" t="s">
        <v>200</v>
      </c>
      <c r="K1064" s="42" t="s">
        <v>100</v>
      </c>
      <c r="L1064" s="81" t="s">
        <v>199</v>
      </c>
      <c r="M1064" s="82" t="str">
        <f>LEFT(Table1[[#This Row],[Tegevusala kood]],2)</f>
        <v>08</v>
      </c>
      <c r="N1064" s="53" t="str">
        <f>VLOOKUP(Table1[[#This Row],[Tegevusala kood]],Table4[[Tegevusala kood]:[Tegevusala alanimetus]],2,FALSE)</f>
        <v>Ulvi Klubi</v>
      </c>
      <c r="O1064" s="42"/>
      <c r="P1064" s="42"/>
      <c r="Q1064" s="53" t="str">
        <f>VLOOKUP(Table1[[#This Row],[Eelarvekonto]],Table5[[Konto]:[Kontode alanimetus]],5,FALSE)</f>
        <v>Majandamiskulud</v>
      </c>
      <c r="R1064" s="53" t="str">
        <f>VLOOKUP(Table1[[#This Row],[Tegevusala kood]],Table4[[Tegevusala kood]:[Tegevusala alanimetus]],4,FALSE)</f>
        <v>Rahvakultuur</v>
      </c>
      <c r="S1064" s="53"/>
      <c r="T1064" s="53"/>
      <c r="U1064" s="53">
        <f>Table1[[#This Row],[Summa]]+Table1[[#This Row],[I Muudatus]]+Table1[[#This Row],[II Muudatus]]</f>
        <v>400</v>
      </c>
    </row>
    <row r="1065" spans="1:21" ht="14.25" hidden="1" customHeight="1" x14ac:dyDescent="0.25">
      <c r="A1065" s="42" t="s">
        <v>1265</v>
      </c>
      <c r="B1065" s="42">
        <v>858</v>
      </c>
      <c r="C1065" s="53">
        <v>5525</v>
      </c>
      <c r="D1065" s="53" t="str">
        <f>LEFT(Table1[[#This Row],[Eelarvekonto]],2)</f>
        <v>55</v>
      </c>
      <c r="E1065" s="42" t="str">
        <f>VLOOKUP(Table1[[#This Row],[Eelarvekonto]],Table5[[Konto]:[Konto nimetus]],2,FALSE)</f>
        <v>Kommunikatsiooni-, kultuuri- ja vaba aja sisustamise kulud</v>
      </c>
      <c r="F1065" s="42" t="s">
        <v>139</v>
      </c>
      <c r="G1065" s="42" t="s">
        <v>24</v>
      </c>
      <c r="H1065" s="42"/>
      <c r="I1065" s="42"/>
      <c r="J1065" s="42" t="s">
        <v>200</v>
      </c>
      <c r="K1065" s="42" t="s">
        <v>100</v>
      </c>
      <c r="L1065" s="81" t="s">
        <v>199</v>
      </c>
      <c r="M1065" s="82" t="str">
        <f>LEFT(Table1[[#This Row],[Tegevusala kood]],2)</f>
        <v>08</v>
      </c>
      <c r="N1065" s="53" t="str">
        <f>VLOOKUP(Table1[[#This Row],[Tegevusala kood]],Table4[[Tegevusala kood]:[Tegevusala alanimetus]],2,FALSE)</f>
        <v>Ulvi Klubi</v>
      </c>
      <c r="O1065" s="42"/>
      <c r="P1065" s="42"/>
      <c r="Q1065" s="53" t="str">
        <f>VLOOKUP(Table1[[#This Row],[Eelarvekonto]],Table5[[Konto]:[Kontode alanimetus]],5,FALSE)</f>
        <v>Majandamiskulud</v>
      </c>
      <c r="R1065" s="53" t="str">
        <f>VLOOKUP(Table1[[#This Row],[Tegevusala kood]],Table4[[Tegevusala kood]:[Tegevusala alanimetus]],4,FALSE)</f>
        <v>Rahvakultuur</v>
      </c>
      <c r="S1065" s="53"/>
      <c r="T1065" s="53"/>
      <c r="U1065" s="53">
        <f>Table1[[#This Row],[Summa]]+Table1[[#This Row],[I Muudatus]]+Table1[[#This Row],[II Muudatus]]</f>
        <v>858</v>
      </c>
    </row>
    <row r="1066" spans="1:21" ht="14.25" hidden="1" customHeight="1" x14ac:dyDescent="0.25">
      <c r="A1066" s="42" t="s">
        <v>1266</v>
      </c>
      <c r="B1066" s="42">
        <v>200</v>
      </c>
      <c r="C1066" s="53">
        <v>5525</v>
      </c>
      <c r="D1066" s="53" t="str">
        <f>LEFT(Table1[[#This Row],[Eelarvekonto]],2)</f>
        <v>55</v>
      </c>
      <c r="E1066" s="42" t="str">
        <f>VLOOKUP(Table1[[#This Row],[Eelarvekonto]],Table5[[Konto]:[Konto nimetus]],2,FALSE)</f>
        <v>Kommunikatsiooni-, kultuuri- ja vaba aja sisustamise kulud</v>
      </c>
      <c r="F1066" s="42" t="s">
        <v>139</v>
      </c>
      <c r="G1066" s="42" t="s">
        <v>24</v>
      </c>
      <c r="H1066" s="42"/>
      <c r="I1066" s="42"/>
      <c r="J1066" s="42" t="s">
        <v>200</v>
      </c>
      <c r="K1066" s="42" t="s">
        <v>100</v>
      </c>
      <c r="L1066" s="81" t="s">
        <v>199</v>
      </c>
      <c r="M1066" s="82" t="str">
        <f>LEFT(Table1[[#This Row],[Tegevusala kood]],2)</f>
        <v>08</v>
      </c>
      <c r="N1066" s="53" t="str">
        <f>VLOOKUP(Table1[[#This Row],[Tegevusala kood]],Table4[[Tegevusala kood]:[Tegevusala alanimetus]],2,FALSE)</f>
        <v>Ulvi Klubi</v>
      </c>
      <c r="O1066" s="42"/>
      <c r="P1066" s="42"/>
      <c r="Q1066" s="53" t="str">
        <f>VLOOKUP(Table1[[#This Row],[Eelarvekonto]],Table5[[Konto]:[Kontode alanimetus]],5,FALSE)</f>
        <v>Majandamiskulud</v>
      </c>
      <c r="R1066" s="53" t="str">
        <f>VLOOKUP(Table1[[#This Row],[Tegevusala kood]],Table4[[Tegevusala kood]:[Tegevusala alanimetus]],4,FALSE)</f>
        <v>Rahvakultuur</v>
      </c>
      <c r="S1066" s="53"/>
      <c r="T1066" s="53"/>
      <c r="U1066" s="53">
        <f>Table1[[#This Row],[Summa]]+Table1[[#This Row],[I Muudatus]]+Table1[[#This Row],[II Muudatus]]</f>
        <v>200</v>
      </c>
    </row>
    <row r="1067" spans="1:21" ht="14.25" hidden="1" customHeight="1" x14ac:dyDescent="0.25">
      <c r="A1067" s="42" t="s">
        <v>188</v>
      </c>
      <c r="B1067" s="42">
        <v>400</v>
      </c>
      <c r="C1067" s="53">
        <v>5540</v>
      </c>
      <c r="D1067" s="53" t="str">
        <f>LEFT(Table1[[#This Row],[Eelarvekonto]],2)</f>
        <v>55</v>
      </c>
      <c r="E1067" s="42" t="str">
        <f>VLOOKUP(Table1[[#This Row],[Eelarvekonto]],Table5[[Konto]:[Konto nimetus]],2,FALSE)</f>
        <v>Mitmesugused majanduskulud</v>
      </c>
      <c r="F1067" s="42" t="s">
        <v>139</v>
      </c>
      <c r="G1067" s="42" t="s">
        <v>24</v>
      </c>
      <c r="H1067" s="42"/>
      <c r="I1067" s="42"/>
      <c r="J1067" s="42" t="s">
        <v>200</v>
      </c>
      <c r="K1067" s="42" t="s">
        <v>100</v>
      </c>
      <c r="L1067" s="81" t="s">
        <v>199</v>
      </c>
      <c r="M1067" s="82" t="str">
        <f>LEFT(Table1[[#This Row],[Tegevusala kood]],2)</f>
        <v>08</v>
      </c>
      <c r="N1067" s="53" t="str">
        <f>VLOOKUP(Table1[[#This Row],[Tegevusala kood]],Table4[[Tegevusala kood]:[Tegevusala alanimetus]],2,FALSE)</f>
        <v>Ulvi Klubi</v>
      </c>
      <c r="O1067" s="42"/>
      <c r="P1067" s="42"/>
      <c r="Q1067" s="53" t="str">
        <f>VLOOKUP(Table1[[#This Row],[Eelarvekonto]],Table5[[Konto]:[Kontode alanimetus]],5,FALSE)</f>
        <v>Majandamiskulud</v>
      </c>
      <c r="R1067" s="53" t="str">
        <f>VLOOKUP(Table1[[#This Row],[Tegevusala kood]],Table4[[Tegevusala kood]:[Tegevusala alanimetus]],4,FALSE)</f>
        <v>Rahvakultuur</v>
      </c>
      <c r="S1067" s="53"/>
      <c r="T1067" s="53"/>
      <c r="U1067" s="53">
        <f>Table1[[#This Row],[Summa]]+Table1[[#This Row],[I Muudatus]]+Table1[[#This Row],[II Muudatus]]</f>
        <v>400</v>
      </c>
    </row>
    <row r="1068" spans="1:21" ht="14.25" hidden="1" customHeight="1" x14ac:dyDescent="0.25">
      <c r="A1068" s="42" t="s">
        <v>141</v>
      </c>
      <c r="B1068" s="42">
        <v>5490</v>
      </c>
      <c r="C1068" s="53">
        <v>5525</v>
      </c>
      <c r="D1068" s="53" t="str">
        <f>LEFT(Table1[[#This Row],[Eelarvekonto]],2)</f>
        <v>55</v>
      </c>
      <c r="E1068" s="42" t="str">
        <f>VLOOKUP(Table1[[#This Row],[Eelarvekonto]],Table5[[Konto]:[Konto nimetus]],2,FALSE)</f>
        <v>Kommunikatsiooni-, kultuuri- ja vaba aja sisustamise kulud</v>
      </c>
      <c r="F1068" s="42" t="s">
        <v>139</v>
      </c>
      <c r="G1068" s="42" t="s">
        <v>24</v>
      </c>
      <c r="H1068" s="42"/>
      <c r="I1068" s="42"/>
      <c r="J1068" s="42" t="s">
        <v>200</v>
      </c>
      <c r="K1068" s="42" t="s">
        <v>100</v>
      </c>
      <c r="L1068" s="81" t="s">
        <v>199</v>
      </c>
      <c r="M1068" s="82" t="str">
        <f>LEFT(Table1[[#This Row],[Tegevusala kood]],2)</f>
        <v>08</v>
      </c>
      <c r="N1068" s="53" t="str">
        <f>VLOOKUP(Table1[[#This Row],[Tegevusala kood]],Table4[[Tegevusala kood]:[Tegevusala alanimetus]],2,FALSE)</f>
        <v>Ulvi Klubi</v>
      </c>
      <c r="O1068" s="42"/>
      <c r="P1068" s="42"/>
      <c r="Q1068" s="53" t="str">
        <f>VLOOKUP(Table1[[#This Row],[Eelarvekonto]],Table5[[Konto]:[Kontode alanimetus]],5,FALSE)</f>
        <v>Majandamiskulud</v>
      </c>
      <c r="R1068" s="53" t="str">
        <f>VLOOKUP(Table1[[#This Row],[Tegevusala kood]],Table4[[Tegevusala kood]:[Tegevusala alanimetus]],4,FALSE)</f>
        <v>Rahvakultuur</v>
      </c>
      <c r="S1068" s="53"/>
      <c r="T1068" s="53"/>
      <c r="U1068" s="53">
        <f>Table1[[#This Row],[Summa]]+Table1[[#This Row],[I Muudatus]]+Table1[[#This Row],[II Muudatus]]</f>
        <v>5490</v>
      </c>
    </row>
    <row r="1069" spans="1:21" ht="14.25" hidden="1" customHeight="1" x14ac:dyDescent="0.25">
      <c r="A1069" s="42" t="s">
        <v>144</v>
      </c>
      <c r="B1069" s="42">
        <v>200</v>
      </c>
      <c r="C1069" s="53">
        <v>5500</v>
      </c>
      <c r="D1069" s="53" t="str">
        <f>LEFT(Table1[[#This Row],[Eelarvekonto]],2)</f>
        <v>55</v>
      </c>
      <c r="E1069" s="42" t="str">
        <f>VLOOKUP(Table1[[#This Row],[Eelarvekonto]],Table5[[Konto]:[Konto nimetus]],2,FALSE)</f>
        <v>Administreerimiskulud</v>
      </c>
      <c r="F1069" s="42" t="s">
        <v>139</v>
      </c>
      <c r="G1069" s="42" t="s">
        <v>24</v>
      </c>
      <c r="H1069" s="42"/>
      <c r="I1069" s="42"/>
      <c r="J1069" s="42" t="s">
        <v>200</v>
      </c>
      <c r="K1069" s="42" t="s">
        <v>100</v>
      </c>
      <c r="L1069" s="81" t="s">
        <v>199</v>
      </c>
      <c r="M1069" s="82" t="str">
        <f>LEFT(Table1[[#This Row],[Tegevusala kood]],2)</f>
        <v>08</v>
      </c>
      <c r="N1069" s="53" t="str">
        <f>VLOOKUP(Table1[[#This Row],[Tegevusala kood]],Table4[[Tegevusala kood]:[Tegevusala alanimetus]],2,FALSE)</f>
        <v>Ulvi Klubi</v>
      </c>
      <c r="O1069" s="42"/>
      <c r="P1069" s="42"/>
      <c r="Q1069" s="53" t="str">
        <f>VLOOKUP(Table1[[#This Row],[Eelarvekonto]],Table5[[Konto]:[Kontode alanimetus]],5,FALSE)</f>
        <v>Majandamiskulud</v>
      </c>
      <c r="R1069" s="53" t="str">
        <f>VLOOKUP(Table1[[#This Row],[Tegevusala kood]],Table4[[Tegevusala kood]:[Tegevusala alanimetus]],4,FALSE)</f>
        <v>Rahvakultuur</v>
      </c>
      <c r="S1069" s="53"/>
      <c r="T1069" s="53"/>
      <c r="U1069" s="53">
        <f>Table1[[#This Row],[Summa]]+Table1[[#This Row],[I Muudatus]]+Table1[[#This Row],[II Muudatus]]</f>
        <v>200</v>
      </c>
    </row>
    <row r="1070" spans="1:21" ht="14.25" hidden="1" customHeight="1" x14ac:dyDescent="0.25">
      <c r="A1070" s="42" t="s">
        <v>140</v>
      </c>
      <c r="B1070" s="42">
        <v>400</v>
      </c>
      <c r="C1070" s="53">
        <v>5504</v>
      </c>
      <c r="D1070" s="53" t="str">
        <f>LEFT(Table1[[#This Row],[Eelarvekonto]],2)</f>
        <v>55</v>
      </c>
      <c r="E1070" s="42" t="str">
        <f>VLOOKUP(Table1[[#This Row],[Eelarvekonto]],Table5[[Konto]:[Konto nimetus]],2,FALSE)</f>
        <v>Koolituskulud (sh koolituslähetus)</v>
      </c>
      <c r="F1070" s="42" t="s">
        <v>139</v>
      </c>
      <c r="G1070" s="42" t="s">
        <v>24</v>
      </c>
      <c r="H1070" s="42"/>
      <c r="I1070" s="42"/>
      <c r="J1070" s="42" t="s">
        <v>200</v>
      </c>
      <c r="K1070" s="42" t="s">
        <v>100</v>
      </c>
      <c r="L1070" s="81" t="s">
        <v>199</v>
      </c>
      <c r="M1070" s="82" t="str">
        <f>LEFT(Table1[[#This Row],[Tegevusala kood]],2)</f>
        <v>08</v>
      </c>
      <c r="N1070" s="53" t="str">
        <f>VLOOKUP(Table1[[#This Row],[Tegevusala kood]],Table4[[Tegevusala kood]:[Tegevusala alanimetus]],2,FALSE)</f>
        <v>Ulvi Klubi</v>
      </c>
      <c r="O1070" s="42"/>
      <c r="P1070" s="42"/>
      <c r="Q1070" s="53" t="str">
        <f>VLOOKUP(Table1[[#This Row],[Eelarvekonto]],Table5[[Konto]:[Kontode alanimetus]],5,FALSE)</f>
        <v>Majandamiskulud</v>
      </c>
      <c r="R1070" s="53" t="str">
        <f>VLOOKUP(Table1[[#This Row],[Tegevusala kood]],Table4[[Tegevusala kood]:[Tegevusala alanimetus]],4,FALSE)</f>
        <v>Rahvakultuur</v>
      </c>
      <c r="S1070" s="53"/>
      <c r="T1070" s="53"/>
      <c r="U1070" s="53">
        <f>Table1[[#This Row],[Summa]]+Table1[[#This Row],[I Muudatus]]+Table1[[#This Row],[II Muudatus]]</f>
        <v>400</v>
      </c>
    </row>
    <row r="1071" spans="1:21" ht="14.25" hidden="1" customHeight="1" x14ac:dyDescent="0.25">
      <c r="A1071" s="42" t="s">
        <v>1267</v>
      </c>
      <c r="B1071" s="42">
        <v>1500</v>
      </c>
      <c r="C1071" s="53">
        <v>5515</v>
      </c>
      <c r="D1071" s="53" t="str">
        <f>LEFT(Table1[[#This Row],[Eelarvekonto]],2)</f>
        <v>55</v>
      </c>
      <c r="E1071" s="42" t="str">
        <f>VLOOKUP(Table1[[#This Row],[Eelarvekonto]],Table5[[Konto]:[Konto nimetus]],2,FALSE)</f>
        <v>Inventari majandamiskulud</v>
      </c>
      <c r="F1071" s="42" t="s">
        <v>139</v>
      </c>
      <c r="G1071" s="42" t="s">
        <v>24</v>
      </c>
      <c r="H1071" s="42"/>
      <c r="I1071" s="42"/>
      <c r="J1071" s="42" t="s">
        <v>306</v>
      </c>
      <c r="K1071" s="42" t="s">
        <v>304</v>
      </c>
      <c r="L1071" s="81" t="s">
        <v>305</v>
      </c>
      <c r="M1071" s="82" t="str">
        <f>LEFT(Table1[[#This Row],[Tegevusala kood]],2)</f>
        <v>09</v>
      </c>
      <c r="N1071" s="53" t="str">
        <f>VLOOKUP(Table1[[#This Row],[Tegevusala kood]],Table4[[Tegevusala kood]:[Tegevusala alanimetus]],2,FALSE)</f>
        <v>Vinni Lasteaed</v>
      </c>
      <c r="O1071" s="42"/>
      <c r="P1071" s="42"/>
      <c r="Q1071" s="53" t="str">
        <f>VLOOKUP(Table1[[#This Row],[Eelarvekonto]],Table5[[Konto]:[Kontode alanimetus]],5,FALSE)</f>
        <v>Majandamiskulud</v>
      </c>
      <c r="R1071" s="53" t="str">
        <f>VLOOKUP(Table1[[#This Row],[Tegevusala kood]],Table4[[Tegevusala kood]:[Tegevusala alanimetus]],4,FALSE)</f>
        <v>Alusharidus</v>
      </c>
      <c r="S1071" s="53"/>
      <c r="T1071" s="53"/>
      <c r="U1071" s="53">
        <f>Table1[[#This Row],[Summa]]+Table1[[#This Row],[I Muudatus]]+Table1[[#This Row],[II Muudatus]]</f>
        <v>1500</v>
      </c>
    </row>
    <row r="1072" spans="1:21" ht="14.25" hidden="1" customHeight="1" x14ac:dyDescent="0.25">
      <c r="A1072" s="42" t="s">
        <v>1268</v>
      </c>
      <c r="B1072" s="42">
        <v>1500</v>
      </c>
      <c r="C1072" s="53">
        <v>5515</v>
      </c>
      <c r="D1072" s="53" t="str">
        <f>LEFT(Table1[[#This Row],[Eelarvekonto]],2)</f>
        <v>55</v>
      </c>
      <c r="E1072" s="42" t="str">
        <f>VLOOKUP(Table1[[#This Row],[Eelarvekonto]],Table5[[Konto]:[Konto nimetus]],2,FALSE)</f>
        <v>Inventari majandamiskulud</v>
      </c>
      <c r="F1072" s="42" t="s">
        <v>139</v>
      </c>
      <c r="G1072" s="42" t="s">
        <v>24</v>
      </c>
      <c r="H1072" s="42"/>
      <c r="I1072" s="42"/>
      <c r="J1072" s="42" t="s">
        <v>306</v>
      </c>
      <c r="K1072" s="42" t="s">
        <v>304</v>
      </c>
      <c r="L1072" s="81" t="s">
        <v>305</v>
      </c>
      <c r="M1072" s="82" t="str">
        <f>LEFT(Table1[[#This Row],[Tegevusala kood]],2)</f>
        <v>09</v>
      </c>
      <c r="N1072" s="53" t="str">
        <f>VLOOKUP(Table1[[#This Row],[Tegevusala kood]],Table4[[Tegevusala kood]:[Tegevusala alanimetus]],2,FALSE)</f>
        <v>Vinni Lasteaed</v>
      </c>
      <c r="O1072" s="42"/>
      <c r="P1072" s="42"/>
      <c r="Q1072" s="53" t="str">
        <f>VLOOKUP(Table1[[#This Row],[Eelarvekonto]],Table5[[Konto]:[Kontode alanimetus]],5,FALSE)</f>
        <v>Majandamiskulud</v>
      </c>
      <c r="R1072" s="53" t="str">
        <f>VLOOKUP(Table1[[#This Row],[Tegevusala kood]],Table4[[Tegevusala kood]:[Tegevusala alanimetus]],4,FALSE)</f>
        <v>Alusharidus</v>
      </c>
      <c r="S1072" s="53"/>
      <c r="T1072" s="53"/>
      <c r="U1072" s="53">
        <f>Table1[[#This Row],[Summa]]+Table1[[#This Row],[I Muudatus]]+Table1[[#This Row],[II Muudatus]]</f>
        <v>1500</v>
      </c>
    </row>
    <row r="1073" spans="1:21" ht="14.25" hidden="1" customHeight="1" x14ac:dyDescent="0.25">
      <c r="A1073" s="42" t="s">
        <v>1269</v>
      </c>
      <c r="B1073" s="42">
        <v>500</v>
      </c>
      <c r="C1073" s="53">
        <v>5514</v>
      </c>
      <c r="D1073" s="53" t="str">
        <f>LEFT(Table1[[#This Row],[Eelarvekonto]],2)</f>
        <v>55</v>
      </c>
      <c r="E1073" s="42" t="str">
        <f>VLOOKUP(Table1[[#This Row],[Eelarvekonto]],Table5[[Konto]:[Konto nimetus]],2,FALSE)</f>
        <v>Info- ja kommunikatsioonitehnoloogia kulud</v>
      </c>
      <c r="F1073" s="42" t="s">
        <v>139</v>
      </c>
      <c r="G1073" s="42" t="s">
        <v>24</v>
      </c>
      <c r="H1073" s="42"/>
      <c r="I1073" s="42"/>
      <c r="J1073" s="42" t="s">
        <v>306</v>
      </c>
      <c r="K1073" s="42" t="s">
        <v>304</v>
      </c>
      <c r="L1073" s="81" t="s">
        <v>305</v>
      </c>
      <c r="M1073" s="82" t="str">
        <f>LEFT(Table1[[#This Row],[Tegevusala kood]],2)</f>
        <v>09</v>
      </c>
      <c r="N1073" s="53" t="str">
        <f>VLOOKUP(Table1[[#This Row],[Tegevusala kood]],Table4[[Tegevusala kood]:[Tegevusala alanimetus]],2,FALSE)</f>
        <v>Vinni Lasteaed</v>
      </c>
      <c r="O1073" s="42"/>
      <c r="P1073" s="42"/>
      <c r="Q1073" s="53" t="str">
        <f>VLOOKUP(Table1[[#This Row],[Eelarvekonto]],Table5[[Konto]:[Kontode alanimetus]],5,FALSE)</f>
        <v>Majandamiskulud</v>
      </c>
      <c r="R1073" s="53" t="str">
        <f>VLOOKUP(Table1[[#This Row],[Tegevusala kood]],Table4[[Tegevusala kood]:[Tegevusala alanimetus]],4,FALSE)</f>
        <v>Alusharidus</v>
      </c>
      <c r="S1073" s="53"/>
      <c r="T1073" s="53"/>
      <c r="U1073" s="53">
        <f>Table1[[#This Row],[Summa]]+Table1[[#This Row],[I Muudatus]]+Table1[[#This Row],[II Muudatus]]</f>
        <v>500</v>
      </c>
    </row>
    <row r="1074" spans="1:21" ht="14.25" hidden="1" customHeight="1" x14ac:dyDescent="0.25">
      <c r="A1074" s="42" t="s">
        <v>1270</v>
      </c>
      <c r="B1074" s="42">
        <v>1800</v>
      </c>
      <c r="C1074" s="53">
        <v>5514</v>
      </c>
      <c r="D1074" s="53" t="str">
        <f>LEFT(Table1[[#This Row],[Eelarvekonto]],2)</f>
        <v>55</v>
      </c>
      <c r="E1074" s="42" t="str">
        <f>VLOOKUP(Table1[[#This Row],[Eelarvekonto]],Table5[[Konto]:[Konto nimetus]],2,FALSE)</f>
        <v>Info- ja kommunikatsioonitehnoloogia kulud</v>
      </c>
      <c r="F1074" s="42" t="s">
        <v>139</v>
      </c>
      <c r="G1074" s="42" t="s">
        <v>24</v>
      </c>
      <c r="H1074" s="42"/>
      <c r="I1074" s="42"/>
      <c r="J1074" s="42" t="s">
        <v>306</v>
      </c>
      <c r="K1074" s="42" t="s">
        <v>304</v>
      </c>
      <c r="L1074" s="81" t="s">
        <v>305</v>
      </c>
      <c r="M1074" s="82" t="str">
        <f>LEFT(Table1[[#This Row],[Tegevusala kood]],2)</f>
        <v>09</v>
      </c>
      <c r="N1074" s="53" t="str">
        <f>VLOOKUP(Table1[[#This Row],[Tegevusala kood]],Table4[[Tegevusala kood]:[Tegevusala alanimetus]],2,FALSE)</f>
        <v>Vinni Lasteaed</v>
      </c>
      <c r="O1074" s="42"/>
      <c r="P1074" s="42"/>
      <c r="Q1074" s="53" t="str">
        <f>VLOOKUP(Table1[[#This Row],[Eelarvekonto]],Table5[[Konto]:[Kontode alanimetus]],5,FALSE)</f>
        <v>Majandamiskulud</v>
      </c>
      <c r="R1074" s="53" t="str">
        <f>VLOOKUP(Table1[[#This Row],[Tegevusala kood]],Table4[[Tegevusala kood]:[Tegevusala alanimetus]],4,FALSE)</f>
        <v>Alusharidus</v>
      </c>
      <c r="S1074" s="53"/>
      <c r="T1074" s="53"/>
      <c r="U1074" s="53">
        <f>Table1[[#This Row],[Summa]]+Table1[[#This Row],[I Muudatus]]+Table1[[#This Row],[II Muudatus]]</f>
        <v>1800</v>
      </c>
    </row>
    <row r="1075" spans="1:21" ht="14.25" hidden="1" customHeight="1" x14ac:dyDescent="0.25">
      <c r="A1075" s="42" t="s">
        <v>255</v>
      </c>
      <c r="B1075" s="42">
        <v>11010</v>
      </c>
      <c r="C1075" s="53">
        <v>5524</v>
      </c>
      <c r="D1075" s="53" t="str">
        <f>LEFT(Table1[[#This Row],[Eelarvekonto]],2)</f>
        <v>55</v>
      </c>
      <c r="E1075" s="42" t="str">
        <f>VLOOKUP(Table1[[#This Row],[Eelarvekonto]],Table5[[Konto]:[Konto nimetus]],2,FALSE)</f>
        <v>Õppevahendite ja koolituse kulud</v>
      </c>
      <c r="F1075" s="42" t="s">
        <v>139</v>
      </c>
      <c r="G1075" s="42" t="s">
        <v>24</v>
      </c>
      <c r="H1075" s="42"/>
      <c r="I1075" s="42"/>
      <c r="J1075" s="42" t="s">
        <v>306</v>
      </c>
      <c r="K1075" s="42" t="s">
        <v>304</v>
      </c>
      <c r="L1075" s="81" t="s">
        <v>305</v>
      </c>
      <c r="M1075" s="82" t="str">
        <f>LEFT(Table1[[#This Row],[Tegevusala kood]],2)</f>
        <v>09</v>
      </c>
      <c r="N1075" s="53" t="str">
        <f>VLOOKUP(Table1[[#This Row],[Tegevusala kood]],Table4[[Tegevusala kood]:[Tegevusala alanimetus]],2,FALSE)</f>
        <v>Vinni Lasteaed</v>
      </c>
      <c r="O1075" s="42"/>
      <c r="P1075" s="42"/>
      <c r="Q1075" s="53" t="str">
        <f>VLOOKUP(Table1[[#This Row],[Eelarvekonto]],Table5[[Konto]:[Kontode alanimetus]],5,FALSE)</f>
        <v>Majandamiskulud</v>
      </c>
      <c r="R1075" s="53" t="str">
        <f>VLOOKUP(Table1[[#This Row],[Tegevusala kood]],Table4[[Tegevusala kood]:[Tegevusala alanimetus]],4,FALSE)</f>
        <v>Alusharidus</v>
      </c>
      <c r="S1075" s="53"/>
      <c r="T1075" s="53"/>
      <c r="U1075" s="53">
        <f>Table1[[#This Row],[Summa]]+Table1[[#This Row],[I Muudatus]]+Table1[[#This Row],[II Muudatus]]</f>
        <v>11010</v>
      </c>
    </row>
    <row r="1076" spans="1:21" ht="14.25" hidden="1" customHeight="1" x14ac:dyDescent="0.25">
      <c r="A1076" s="42" t="s">
        <v>1271</v>
      </c>
      <c r="B1076" s="42">
        <v>1000</v>
      </c>
      <c r="C1076" s="53">
        <v>5522</v>
      </c>
      <c r="D1076" s="53" t="str">
        <f>LEFT(Table1[[#This Row],[Eelarvekonto]],2)</f>
        <v>55</v>
      </c>
      <c r="E1076" s="42" t="str">
        <f>VLOOKUP(Table1[[#This Row],[Eelarvekonto]],Table5[[Konto]:[Konto nimetus]],2,FALSE)</f>
        <v>Meditsiinikulud ja hügieenikulud</v>
      </c>
      <c r="F1076" s="42" t="s">
        <v>139</v>
      </c>
      <c r="G1076" s="42" t="s">
        <v>24</v>
      </c>
      <c r="H1076" s="42"/>
      <c r="I1076" s="42"/>
      <c r="J1076" s="42" t="s">
        <v>306</v>
      </c>
      <c r="K1076" s="42" t="s">
        <v>304</v>
      </c>
      <c r="L1076" s="81" t="s">
        <v>305</v>
      </c>
      <c r="M1076" s="82" t="str">
        <f>LEFT(Table1[[#This Row],[Tegevusala kood]],2)</f>
        <v>09</v>
      </c>
      <c r="N1076" s="53" t="str">
        <f>VLOOKUP(Table1[[#This Row],[Tegevusala kood]],Table4[[Tegevusala kood]:[Tegevusala alanimetus]],2,FALSE)</f>
        <v>Vinni Lasteaed</v>
      </c>
      <c r="O1076" s="42"/>
      <c r="P1076" s="42"/>
      <c r="Q1076" s="53" t="str">
        <f>VLOOKUP(Table1[[#This Row],[Eelarvekonto]],Table5[[Konto]:[Kontode alanimetus]],5,FALSE)</f>
        <v>Majandamiskulud</v>
      </c>
      <c r="R1076" s="53" t="str">
        <f>VLOOKUP(Table1[[#This Row],[Tegevusala kood]],Table4[[Tegevusala kood]:[Tegevusala alanimetus]],4,FALSE)</f>
        <v>Alusharidus</v>
      </c>
      <c r="S1076" s="53"/>
      <c r="T1076" s="53"/>
      <c r="U1076" s="53">
        <f>Table1[[#This Row],[Summa]]+Table1[[#This Row],[I Muudatus]]+Table1[[#This Row],[II Muudatus]]</f>
        <v>1000</v>
      </c>
    </row>
    <row r="1077" spans="1:21" ht="14.25" hidden="1" customHeight="1" x14ac:dyDescent="0.25">
      <c r="A1077" s="42" t="s">
        <v>1117</v>
      </c>
      <c r="B1077" s="42">
        <v>240</v>
      </c>
      <c r="C1077" s="53">
        <v>5522</v>
      </c>
      <c r="D1077" s="53" t="str">
        <f>LEFT(Table1[[#This Row],[Eelarvekonto]],2)</f>
        <v>55</v>
      </c>
      <c r="E1077" s="42" t="str">
        <f>VLOOKUP(Table1[[#This Row],[Eelarvekonto]],Table5[[Konto]:[Konto nimetus]],2,FALSE)</f>
        <v>Meditsiinikulud ja hügieenikulud</v>
      </c>
      <c r="F1077" s="42" t="s">
        <v>139</v>
      </c>
      <c r="G1077" s="42" t="s">
        <v>24</v>
      </c>
      <c r="H1077" s="42"/>
      <c r="I1077" s="42"/>
      <c r="J1077" s="42" t="s">
        <v>306</v>
      </c>
      <c r="K1077" s="42" t="s">
        <v>304</v>
      </c>
      <c r="L1077" s="81" t="s">
        <v>305</v>
      </c>
      <c r="M1077" s="82" t="str">
        <f>LEFT(Table1[[#This Row],[Tegevusala kood]],2)</f>
        <v>09</v>
      </c>
      <c r="N1077" s="53" t="str">
        <f>VLOOKUP(Table1[[#This Row],[Tegevusala kood]],Table4[[Tegevusala kood]:[Tegevusala alanimetus]],2,FALSE)</f>
        <v>Vinni Lasteaed</v>
      </c>
      <c r="O1077" s="42"/>
      <c r="P1077" s="42"/>
      <c r="Q1077" s="53" t="str">
        <f>VLOOKUP(Table1[[#This Row],[Eelarvekonto]],Table5[[Konto]:[Kontode alanimetus]],5,FALSE)</f>
        <v>Majandamiskulud</v>
      </c>
      <c r="R1077" s="53" t="str">
        <f>VLOOKUP(Table1[[#This Row],[Tegevusala kood]],Table4[[Tegevusala kood]:[Tegevusala alanimetus]],4,FALSE)</f>
        <v>Alusharidus</v>
      </c>
      <c r="S1077" s="53"/>
      <c r="T1077" s="53"/>
      <c r="U1077" s="53">
        <f>Table1[[#This Row],[Summa]]+Table1[[#This Row],[I Muudatus]]+Table1[[#This Row],[II Muudatus]]</f>
        <v>240</v>
      </c>
    </row>
    <row r="1078" spans="1:21" ht="14.25" hidden="1" customHeight="1" x14ac:dyDescent="0.25">
      <c r="A1078" s="42" t="s">
        <v>1272</v>
      </c>
      <c r="B1078" s="42">
        <v>30</v>
      </c>
      <c r="C1078" s="53">
        <v>5500</v>
      </c>
      <c r="D1078" s="53" t="str">
        <f>LEFT(Table1[[#This Row],[Eelarvekonto]],2)</f>
        <v>55</v>
      </c>
      <c r="E1078" s="42" t="str">
        <f>VLOOKUP(Table1[[#This Row],[Eelarvekonto]],Table5[[Konto]:[Konto nimetus]],2,FALSE)</f>
        <v>Administreerimiskulud</v>
      </c>
      <c r="F1078" s="42" t="s">
        <v>139</v>
      </c>
      <c r="G1078" s="42" t="s">
        <v>24</v>
      </c>
      <c r="H1078" s="42"/>
      <c r="I1078" s="42"/>
      <c r="J1078" s="42" t="s">
        <v>306</v>
      </c>
      <c r="K1078" s="42" t="s">
        <v>304</v>
      </c>
      <c r="L1078" s="81" t="s">
        <v>305</v>
      </c>
      <c r="M1078" s="82" t="str">
        <f>LEFT(Table1[[#This Row],[Tegevusala kood]],2)</f>
        <v>09</v>
      </c>
      <c r="N1078" s="53" t="str">
        <f>VLOOKUP(Table1[[#This Row],[Tegevusala kood]],Table4[[Tegevusala kood]:[Tegevusala alanimetus]],2,FALSE)</f>
        <v>Vinni Lasteaed</v>
      </c>
      <c r="O1078" s="42"/>
      <c r="P1078" s="42"/>
      <c r="Q1078" s="53" t="str">
        <f>VLOOKUP(Table1[[#This Row],[Eelarvekonto]],Table5[[Konto]:[Kontode alanimetus]],5,FALSE)</f>
        <v>Majandamiskulud</v>
      </c>
      <c r="R1078" s="53" t="str">
        <f>VLOOKUP(Table1[[#This Row],[Tegevusala kood]],Table4[[Tegevusala kood]:[Tegevusala alanimetus]],4,FALSE)</f>
        <v>Alusharidus</v>
      </c>
      <c r="S1078" s="53"/>
      <c r="T1078" s="53"/>
      <c r="U1078" s="53">
        <f>Table1[[#This Row],[Summa]]+Table1[[#This Row],[I Muudatus]]+Table1[[#This Row],[II Muudatus]]</f>
        <v>30</v>
      </c>
    </row>
    <row r="1079" spans="1:21" ht="14.25" hidden="1" customHeight="1" x14ac:dyDescent="0.25">
      <c r="A1079" s="42" t="s">
        <v>140</v>
      </c>
      <c r="B1079" s="42">
        <v>2300</v>
      </c>
      <c r="C1079" s="53">
        <v>5504</v>
      </c>
      <c r="D1079" s="53" t="str">
        <f>LEFT(Table1[[#This Row],[Eelarvekonto]],2)</f>
        <v>55</v>
      </c>
      <c r="E1079" s="42" t="str">
        <f>VLOOKUP(Table1[[#This Row],[Eelarvekonto]],Table5[[Konto]:[Konto nimetus]],2,FALSE)</f>
        <v>Koolituskulud (sh koolituslähetus)</v>
      </c>
      <c r="F1079" s="42" t="s">
        <v>139</v>
      </c>
      <c r="G1079" s="42" t="s">
        <v>24</v>
      </c>
      <c r="H1079" s="42"/>
      <c r="I1079" s="42"/>
      <c r="J1079" s="42" t="s">
        <v>306</v>
      </c>
      <c r="K1079" s="42" t="s">
        <v>304</v>
      </c>
      <c r="L1079" s="81" t="s">
        <v>305</v>
      </c>
      <c r="M1079" s="82" t="str">
        <f>LEFT(Table1[[#This Row],[Tegevusala kood]],2)</f>
        <v>09</v>
      </c>
      <c r="N1079" s="53" t="str">
        <f>VLOOKUP(Table1[[#This Row],[Tegevusala kood]],Table4[[Tegevusala kood]:[Tegevusala alanimetus]],2,FALSE)</f>
        <v>Vinni Lasteaed</v>
      </c>
      <c r="O1079" s="42"/>
      <c r="P1079" s="42"/>
      <c r="Q1079" s="53" t="str">
        <f>VLOOKUP(Table1[[#This Row],[Eelarvekonto]],Table5[[Konto]:[Kontode alanimetus]],5,FALSE)</f>
        <v>Majandamiskulud</v>
      </c>
      <c r="R1079" s="53" t="str">
        <f>VLOOKUP(Table1[[#This Row],[Tegevusala kood]],Table4[[Tegevusala kood]:[Tegevusala alanimetus]],4,FALSE)</f>
        <v>Alusharidus</v>
      </c>
      <c r="S1079" s="53"/>
      <c r="T1079" s="53"/>
      <c r="U1079" s="53">
        <f>Table1[[#This Row],[Summa]]+Table1[[#This Row],[I Muudatus]]+Table1[[#This Row],[II Muudatus]]</f>
        <v>2300</v>
      </c>
    </row>
    <row r="1080" spans="1:21" ht="14.25" hidden="1" customHeight="1" x14ac:dyDescent="0.25">
      <c r="A1080" s="42" t="s">
        <v>1273</v>
      </c>
      <c r="B1080" s="42">
        <v>375</v>
      </c>
      <c r="C1080" s="53">
        <v>5511</v>
      </c>
      <c r="D1080" s="53" t="str">
        <f>LEFT(Table1[[#This Row],[Eelarvekonto]],2)</f>
        <v>55</v>
      </c>
      <c r="E1080" s="42" t="str">
        <f>VLOOKUP(Table1[[#This Row],[Eelarvekonto]],Table5[[Konto]:[Konto nimetus]],2,FALSE)</f>
        <v>Kinnistute, hoonete ja ruumide majandamiskulud</v>
      </c>
      <c r="F1080" s="42" t="s">
        <v>139</v>
      </c>
      <c r="G1080" s="42" t="s">
        <v>24</v>
      </c>
      <c r="H1080" s="42"/>
      <c r="I1080" s="42"/>
      <c r="J1080" s="42" t="s">
        <v>306</v>
      </c>
      <c r="K1080" s="42" t="s">
        <v>304</v>
      </c>
      <c r="L1080" s="81" t="s">
        <v>305</v>
      </c>
      <c r="M1080" s="82" t="str">
        <f>LEFT(Table1[[#This Row],[Tegevusala kood]],2)</f>
        <v>09</v>
      </c>
      <c r="N1080" s="53" t="str">
        <f>VLOOKUP(Table1[[#This Row],[Tegevusala kood]],Table4[[Tegevusala kood]:[Tegevusala alanimetus]],2,FALSE)</f>
        <v>Vinni Lasteaed</v>
      </c>
      <c r="O1080" s="42"/>
      <c r="P1080" s="42"/>
      <c r="Q1080" s="53" t="str">
        <f>VLOOKUP(Table1[[#This Row],[Eelarvekonto]],Table5[[Konto]:[Kontode alanimetus]],5,FALSE)</f>
        <v>Majandamiskulud</v>
      </c>
      <c r="R1080" s="53" t="str">
        <f>VLOOKUP(Table1[[#This Row],[Tegevusala kood]],Table4[[Tegevusala kood]:[Tegevusala alanimetus]],4,FALSE)</f>
        <v>Alusharidus</v>
      </c>
      <c r="S1080" s="53"/>
      <c r="T1080" s="53"/>
      <c r="U1080" s="53">
        <f>Table1[[#This Row],[Summa]]+Table1[[#This Row],[I Muudatus]]+Table1[[#This Row],[II Muudatus]]</f>
        <v>375</v>
      </c>
    </row>
    <row r="1081" spans="1:21" ht="14.25" hidden="1" customHeight="1" x14ac:dyDescent="0.25">
      <c r="A1081" s="42" t="s">
        <v>1274</v>
      </c>
      <c r="B1081" s="42">
        <v>300</v>
      </c>
      <c r="C1081" s="53">
        <v>5500</v>
      </c>
      <c r="D1081" s="53" t="str">
        <f>LEFT(Table1[[#This Row],[Eelarvekonto]],2)</f>
        <v>55</v>
      </c>
      <c r="E1081" s="42" t="str">
        <f>VLOOKUP(Table1[[#This Row],[Eelarvekonto]],Table5[[Konto]:[Konto nimetus]],2,FALSE)</f>
        <v>Administreerimiskulud</v>
      </c>
      <c r="F1081" s="42" t="s">
        <v>139</v>
      </c>
      <c r="G1081" s="42" t="s">
        <v>24</v>
      </c>
      <c r="H1081" s="42"/>
      <c r="I1081" s="42"/>
      <c r="J1081" s="42" t="s">
        <v>306</v>
      </c>
      <c r="K1081" s="42" t="s">
        <v>304</v>
      </c>
      <c r="L1081" s="81" t="s">
        <v>305</v>
      </c>
      <c r="M1081" s="82" t="str">
        <f>LEFT(Table1[[#This Row],[Tegevusala kood]],2)</f>
        <v>09</v>
      </c>
      <c r="N1081" s="53" t="str">
        <f>VLOOKUP(Table1[[#This Row],[Tegevusala kood]],Table4[[Tegevusala kood]:[Tegevusala alanimetus]],2,FALSE)</f>
        <v>Vinni Lasteaed</v>
      </c>
      <c r="O1081" s="42"/>
      <c r="P1081" s="42"/>
      <c r="Q1081" s="53" t="str">
        <f>VLOOKUP(Table1[[#This Row],[Eelarvekonto]],Table5[[Konto]:[Kontode alanimetus]],5,FALSE)</f>
        <v>Majandamiskulud</v>
      </c>
      <c r="R1081" s="53" t="str">
        <f>VLOOKUP(Table1[[#This Row],[Tegevusala kood]],Table4[[Tegevusala kood]:[Tegevusala alanimetus]],4,FALSE)</f>
        <v>Alusharidus</v>
      </c>
      <c r="S1081" s="53"/>
      <c r="T1081" s="53"/>
      <c r="U1081" s="53">
        <f>Table1[[#This Row],[Summa]]+Table1[[#This Row],[I Muudatus]]+Table1[[#This Row],[II Muudatus]]</f>
        <v>300</v>
      </c>
    </row>
    <row r="1082" spans="1:21" ht="14.25" hidden="1" customHeight="1" x14ac:dyDescent="0.25">
      <c r="A1082" s="42" t="s">
        <v>141</v>
      </c>
      <c r="B1082" s="42">
        <v>4000</v>
      </c>
      <c r="C1082" s="53">
        <v>5525</v>
      </c>
      <c r="D1082" s="53" t="str">
        <f>LEFT(Table1[[#This Row],[Eelarvekonto]],2)</f>
        <v>55</v>
      </c>
      <c r="E1082" s="42" t="str">
        <f>VLOOKUP(Table1[[#This Row],[Eelarvekonto]],Table5[[Konto]:[Konto nimetus]],2,FALSE)</f>
        <v>Kommunikatsiooni-, kultuuri- ja vaba aja sisustamise kulud</v>
      </c>
      <c r="F1082" s="42" t="s">
        <v>139</v>
      </c>
      <c r="G1082" s="42" t="s">
        <v>24</v>
      </c>
      <c r="H1082" s="42"/>
      <c r="I1082" s="42"/>
      <c r="J1082" s="42" t="s">
        <v>306</v>
      </c>
      <c r="K1082" s="42" t="s">
        <v>304</v>
      </c>
      <c r="L1082" s="81" t="s">
        <v>305</v>
      </c>
      <c r="M1082" s="82" t="str">
        <f>LEFT(Table1[[#This Row],[Tegevusala kood]],2)</f>
        <v>09</v>
      </c>
      <c r="N1082" s="53" t="str">
        <f>VLOOKUP(Table1[[#This Row],[Tegevusala kood]],Table4[[Tegevusala kood]:[Tegevusala alanimetus]],2,FALSE)</f>
        <v>Vinni Lasteaed</v>
      </c>
      <c r="O1082" s="42"/>
      <c r="P1082" s="42"/>
      <c r="Q1082" s="53" t="str">
        <f>VLOOKUP(Table1[[#This Row],[Eelarvekonto]],Table5[[Konto]:[Kontode alanimetus]],5,FALSE)</f>
        <v>Majandamiskulud</v>
      </c>
      <c r="R1082" s="53" t="str">
        <f>VLOOKUP(Table1[[#This Row],[Tegevusala kood]],Table4[[Tegevusala kood]:[Tegevusala alanimetus]],4,FALSE)</f>
        <v>Alusharidus</v>
      </c>
      <c r="S1082" s="53"/>
      <c r="T1082" s="53"/>
      <c r="U1082" s="53">
        <f>Table1[[#This Row],[Summa]]+Table1[[#This Row],[I Muudatus]]+Table1[[#This Row],[II Muudatus]]</f>
        <v>4000</v>
      </c>
    </row>
    <row r="1083" spans="1:21" ht="14.25" hidden="1" customHeight="1" x14ac:dyDescent="0.25">
      <c r="A1083" s="42" t="s">
        <v>193</v>
      </c>
      <c r="B1083" s="42">
        <v>600</v>
      </c>
      <c r="C1083" s="53">
        <v>5522</v>
      </c>
      <c r="D1083" s="53" t="str">
        <f>LEFT(Table1[[#This Row],[Eelarvekonto]],2)</f>
        <v>55</v>
      </c>
      <c r="E1083" s="42" t="str">
        <f>VLOOKUP(Table1[[#This Row],[Eelarvekonto]],Table5[[Konto]:[Konto nimetus]],2,FALSE)</f>
        <v>Meditsiinikulud ja hügieenikulud</v>
      </c>
      <c r="F1083" s="42" t="s">
        <v>139</v>
      </c>
      <c r="G1083" s="42" t="s">
        <v>24</v>
      </c>
      <c r="H1083" s="42"/>
      <c r="I1083" s="42"/>
      <c r="J1083" s="42" t="s">
        <v>306</v>
      </c>
      <c r="K1083" s="42" t="s">
        <v>304</v>
      </c>
      <c r="L1083" s="81" t="s">
        <v>305</v>
      </c>
      <c r="M1083" s="82" t="str">
        <f>LEFT(Table1[[#This Row],[Tegevusala kood]],2)</f>
        <v>09</v>
      </c>
      <c r="N1083" s="53" t="str">
        <f>VLOOKUP(Table1[[#This Row],[Tegevusala kood]],Table4[[Tegevusala kood]:[Tegevusala alanimetus]],2,FALSE)</f>
        <v>Vinni Lasteaed</v>
      </c>
      <c r="O1083" s="42"/>
      <c r="P1083" s="42"/>
      <c r="Q1083" s="53" t="str">
        <f>VLOOKUP(Table1[[#This Row],[Eelarvekonto]],Table5[[Konto]:[Kontode alanimetus]],5,FALSE)</f>
        <v>Majandamiskulud</v>
      </c>
      <c r="R1083" s="53" t="str">
        <f>VLOOKUP(Table1[[#This Row],[Tegevusala kood]],Table4[[Tegevusala kood]:[Tegevusala alanimetus]],4,FALSE)</f>
        <v>Alusharidus</v>
      </c>
      <c r="S1083" s="53"/>
      <c r="T1083" s="53"/>
      <c r="U1083" s="53">
        <f>Table1[[#This Row],[Summa]]+Table1[[#This Row],[I Muudatus]]+Table1[[#This Row],[II Muudatus]]</f>
        <v>600</v>
      </c>
    </row>
    <row r="1084" spans="1:21" ht="14.25" hidden="1" customHeight="1" x14ac:dyDescent="0.25">
      <c r="A1084" s="42" t="s">
        <v>163</v>
      </c>
      <c r="B1084" s="42">
        <v>1000</v>
      </c>
      <c r="C1084" s="53">
        <v>5515</v>
      </c>
      <c r="D1084" s="53" t="str">
        <f>LEFT(Table1[[#This Row],[Eelarvekonto]],2)</f>
        <v>55</v>
      </c>
      <c r="E1084" s="42" t="str">
        <f>VLOOKUP(Table1[[#This Row],[Eelarvekonto]],Table5[[Konto]:[Konto nimetus]],2,FALSE)</f>
        <v>Inventari majandamiskulud</v>
      </c>
      <c r="F1084" s="42" t="s">
        <v>139</v>
      </c>
      <c r="G1084" s="42" t="s">
        <v>24</v>
      </c>
      <c r="H1084" s="42"/>
      <c r="I1084" s="42"/>
      <c r="J1084" s="42" t="s">
        <v>306</v>
      </c>
      <c r="K1084" s="42" t="s">
        <v>304</v>
      </c>
      <c r="L1084" s="81" t="s">
        <v>305</v>
      </c>
      <c r="M1084" s="82" t="str">
        <f>LEFT(Table1[[#This Row],[Tegevusala kood]],2)</f>
        <v>09</v>
      </c>
      <c r="N1084" s="53" t="str">
        <f>VLOOKUP(Table1[[#This Row],[Tegevusala kood]],Table4[[Tegevusala kood]:[Tegevusala alanimetus]],2,FALSE)</f>
        <v>Vinni Lasteaed</v>
      </c>
      <c r="O1084" s="42"/>
      <c r="P1084" s="42"/>
      <c r="Q1084" s="53" t="str">
        <f>VLOOKUP(Table1[[#This Row],[Eelarvekonto]],Table5[[Konto]:[Kontode alanimetus]],5,FALSE)</f>
        <v>Majandamiskulud</v>
      </c>
      <c r="R1084" s="53" t="str">
        <f>VLOOKUP(Table1[[#This Row],[Tegevusala kood]],Table4[[Tegevusala kood]:[Tegevusala alanimetus]],4,FALSE)</f>
        <v>Alusharidus</v>
      </c>
      <c r="S1084" s="53"/>
      <c r="T1084" s="53"/>
      <c r="U1084" s="53">
        <f>Table1[[#This Row],[Summa]]+Table1[[#This Row],[I Muudatus]]+Table1[[#This Row],[II Muudatus]]</f>
        <v>1000</v>
      </c>
    </row>
    <row r="1085" spans="1:21" ht="14.25" hidden="1" customHeight="1" x14ac:dyDescent="0.25">
      <c r="A1085" s="42" t="s">
        <v>1275</v>
      </c>
      <c r="B1085" s="42">
        <v>300</v>
      </c>
      <c r="C1085" s="53">
        <v>5514</v>
      </c>
      <c r="D1085" s="53" t="str">
        <f>LEFT(Table1[[#This Row],[Eelarvekonto]],2)</f>
        <v>55</v>
      </c>
      <c r="E1085" s="42" t="str">
        <f>VLOOKUP(Table1[[#This Row],[Eelarvekonto]],Table5[[Konto]:[Konto nimetus]],2,FALSE)</f>
        <v>Info- ja kommunikatsioonitehnoloogia kulud</v>
      </c>
      <c r="F1085" s="42" t="s">
        <v>139</v>
      </c>
      <c r="G1085" s="42" t="s">
        <v>24</v>
      </c>
      <c r="H1085" s="42"/>
      <c r="I1085" s="42"/>
      <c r="J1085" s="42" t="s">
        <v>306</v>
      </c>
      <c r="K1085" s="42" t="s">
        <v>304</v>
      </c>
      <c r="L1085" s="81" t="s">
        <v>305</v>
      </c>
      <c r="M1085" s="82" t="str">
        <f>LEFT(Table1[[#This Row],[Tegevusala kood]],2)</f>
        <v>09</v>
      </c>
      <c r="N1085" s="53" t="str">
        <f>VLOOKUP(Table1[[#This Row],[Tegevusala kood]],Table4[[Tegevusala kood]:[Tegevusala alanimetus]],2,FALSE)</f>
        <v>Vinni Lasteaed</v>
      </c>
      <c r="O1085" s="42"/>
      <c r="P1085" s="42"/>
      <c r="Q1085" s="53" t="str">
        <f>VLOOKUP(Table1[[#This Row],[Eelarvekonto]],Table5[[Konto]:[Kontode alanimetus]],5,FALSE)</f>
        <v>Majandamiskulud</v>
      </c>
      <c r="R1085" s="53" t="str">
        <f>VLOOKUP(Table1[[#This Row],[Tegevusala kood]],Table4[[Tegevusala kood]:[Tegevusala alanimetus]],4,FALSE)</f>
        <v>Alusharidus</v>
      </c>
      <c r="S1085" s="53"/>
      <c r="T1085" s="53"/>
      <c r="U1085" s="53">
        <f>Table1[[#This Row],[Summa]]+Table1[[#This Row],[I Muudatus]]+Table1[[#This Row],[II Muudatus]]</f>
        <v>300</v>
      </c>
    </row>
    <row r="1086" spans="1:21" ht="14.25" hidden="1" customHeight="1" x14ac:dyDescent="0.25">
      <c r="A1086" s="42" t="s">
        <v>143</v>
      </c>
      <c r="B1086" s="42">
        <v>3500</v>
      </c>
      <c r="C1086" s="53">
        <v>5511</v>
      </c>
      <c r="D1086" s="53" t="str">
        <f>LEFT(Table1[[#This Row],[Eelarvekonto]],2)</f>
        <v>55</v>
      </c>
      <c r="E1086" s="42" t="str">
        <f>VLOOKUP(Table1[[#This Row],[Eelarvekonto]],Table5[[Konto]:[Konto nimetus]],2,FALSE)</f>
        <v>Kinnistute, hoonete ja ruumide majandamiskulud</v>
      </c>
      <c r="F1086" s="42" t="s">
        <v>139</v>
      </c>
      <c r="G1086" s="42" t="s">
        <v>24</v>
      </c>
      <c r="H1086" s="42"/>
      <c r="I1086" s="42"/>
      <c r="J1086" s="42" t="s">
        <v>306</v>
      </c>
      <c r="K1086" s="42" t="s">
        <v>304</v>
      </c>
      <c r="L1086" s="81" t="s">
        <v>305</v>
      </c>
      <c r="M1086" s="82" t="str">
        <f>LEFT(Table1[[#This Row],[Tegevusala kood]],2)</f>
        <v>09</v>
      </c>
      <c r="N1086" s="53" t="str">
        <f>VLOOKUP(Table1[[#This Row],[Tegevusala kood]],Table4[[Tegevusala kood]:[Tegevusala alanimetus]],2,FALSE)</f>
        <v>Vinni Lasteaed</v>
      </c>
      <c r="O1086" s="42"/>
      <c r="P1086" s="42"/>
      <c r="Q1086" s="53" t="str">
        <f>VLOOKUP(Table1[[#This Row],[Eelarvekonto]],Table5[[Konto]:[Kontode alanimetus]],5,FALSE)</f>
        <v>Majandamiskulud</v>
      </c>
      <c r="R1086" s="53" t="str">
        <f>VLOOKUP(Table1[[#This Row],[Tegevusala kood]],Table4[[Tegevusala kood]:[Tegevusala alanimetus]],4,FALSE)</f>
        <v>Alusharidus</v>
      </c>
      <c r="S1086" s="53"/>
      <c r="T1086" s="53"/>
      <c r="U1086" s="53">
        <f>Table1[[#This Row],[Summa]]+Table1[[#This Row],[I Muudatus]]+Table1[[#This Row],[II Muudatus]]</f>
        <v>3500</v>
      </c>
    </row>
    <row r="1087" spans="1:21" ht="14.25" hidden="1" customHeight="1" x14ac:dyDescent="0.25">
      <c r="A1087" s="42" t="s">
        <v>207</v>
      </c>
      <c r="B1087" s="42">
        <v>900</v>
      </c>
      <c r="C1087" s="53">
        <v>5500</v>
      </c>
      <c r="D1087" s="53" t="str">
        <f>LEFT(Table1[[#This Row],[Eelarvekonto]],2)</f>
        <v>55</v>
      </c>
      <c r="E1087" s="42" t="str">
        <f>VLOOKUP(Table1[[#This Row],[Eelarvekonto]],Table5[[Konto]:[Konto nimetus]],2,FALSE)</f>
        <v>Administreerimiskulud</v>
      </c>
      <c r="F1087" s="42" t="s">
        <v>139</v>
      </c>
      <c r="G1087" s="42" t="s">
        <v>24</v>
      </c>
      <c r="H1087" s="42"/>
      <c r="I1087" s="42"/>
      <c r="J1087" s="42" t="s">
        <v>306</v>
      </c>
      <c r="K1087" s="42" t="s">
        <v>304</v>
      </c>
      <c r="L1087" s="81" t="s">
        <v>305</v>
      </c>
      <c r="M1087" s="82" t="str">
        <f>LEFT(Table1[[#This Row],[Tegevusala kood]],2)</f>
        <v>09</v>
      </c>
      <c r="N1087" s="53" t="str">
        <f>VLOOKUP(Table1[[#This Row],[Tegevusala kood]],Table4[[Tegevusala kood]:[Tegevusala alanimetus]],2,FALSE)</f>
        <v>Vinni Lasteaed</v>
      </c>
      <c r="O1087" s="42"/>
      <c r="P1087" s="42"/>
      <c r="Q1087" s="53" t="str">
        <f>VLOOKUP(Table1[[#This Row],[Eelarvekonto]],Table5[[Konto]:[Kontode alanimetus]],5,FALSE)</f>
        <v>Majandamiskulud</v>
      </c>
      <c r="R1087" s="53" t="str">
        <f>VLOOKUP(Table1[[#This Row],[Tegevusala kood]],Table4[[Tegevusala kood]:[Tegevusala alanimetus]],4,FALSE)</f>
        <v>Alusharidus</v>
      </c>
      <c r="S1087" s="53"/>
      <c r="T1087" s="53"/>
      <c r="U1087" s="53">
        <f>Table1[[#This Row],[Summa]]+Table1[[#This Row],[I Muudatus]]+Table1[[#This Row],[II Muudatus]]</f>
        <v>900</v>
      </c>
    </row>
    <row r="1088" spans="1:21" ht="14.25" hidden="1" customHeight="1" x14ac:dyDescent="0.25">
      <c r="A1088" s="42" t="s">
        <v>158</v>
      </c>
      <c r="B1088" s="42">
        <v>1014</v>
      </c>
      <c r="C1088" s="53">
        <v>506</v>
      </c>
      <c r="D1088" s="53" t="str">
        <f>LEFT(Table1[[#This Row],[Eelarvekonto]],2)</f>
        <v>50</v>
      </c>
      <c r="E1088" s="42" t="str">
        <f>VLOOKUP(Table1[[#This Row],[Eelarvekonto]],Table5[[Konto]:[Konto nimetus]],2,FALSE)</f>
        <v>Tööjõukuludega kaasnevad maksud ja sotsiaalkindlustusmaksed</v>
      </c>
      <c r="F1088" s="42" t="s">
        <v>139</v>
      </c>
      <c r="G1088" s="42" t="s">
        <v>24</v>
      </c>
      <c r="H1088" s="42"/>
      <c r="I1088" s="42"/>
      <c r="J1088" s="42" t="s">
        <v>185</v>
      </c>
      <c r="K1088" s="42" t="s">
        <v>102</v>
      </c>
      <c r="L1088" s="81" t="s">
        <v>184</v>
      </c>
      <c r="M1088" s="82" t="str">
        <f>LEFT(Table1[[#This Row],[Tegevusala kood]],2)</f>
        <v>08</v>
      </c>
      <c r="N1088" s="53" t="str">
        <f>VLOOKUP(Table1[[#This Row],[Tegevusala kood]],Table4[[Tegevusala kood]:[Tegevusala alanimetus]],2,FALSE)</f>
        <v>Vinni Vallamuuseum</v>
      </c>
      <c r="O1088" s="42"/>
      <c r="P1088" s="42"/>
      <c r="Q1088" s="53" t="str">
        <f>VLOOKUP(Table1[[#This Row],[Eelarvekonto]],Table5[[Konto]:[Kontode alanimetus]],5,FALSE)</f>
        <v>Tööjõukulud</v>
      </c>
      <c r="R1088" s="53" t="str">
        <f>VLOOKUP(Table1[[#This Row],[Tegevusala kood]],Table4[[Tegevusala kood]:[Tegevusala alanimetus]],4,FALSE)</f>
        <v>Muuseumid</v>
      </c>
      <c r="S1088" s="53"/>
      <c r="T1088" s="53"/>
      <c r="U1088" s="53">
        <f>Table1[[#This Row],[Summa]]+Table1[[#This Row],[I Muudatus]]+Table1[[#This Row],[II Muudatus]]</f>
        <v>1014</v>
      </c>
    </row>
    <row r="1089" spans="1:21" ht="14.25" hidden="1" customHeight="1" x14ac:dyDescent="0.25">
      <c r="A1089" s="42" t="s">
        <v>156</v>
      </c>
      <c r="B1089" s="42">
        <v>3000</v>
      </c>
      <c r="C1089" s="53">
        <v>5005</v>
      </c>
      <c r="D1089" s="53" t="str">
        <f>LEFT(Table1[[#This Row],[Eelarvekonto]],2)</f>
        <v>50</v>
      </c>
      <c r="E1089" s="42" t="str">
        <f>VLOOKUP(Table1[[#This Row],[Eelarvekonto]],Table5[[Konto]:[Konto nimetus]],2,FALSE)</f>
        <v>Töötasud võlaõiguslike lepingute alusel</v>
      </c>
      <c r="F1089" s="42" t="s">
        <v>139</v>
      </c>
      <c r="G1089" s="42" t="s">
        <v>24</v>
      </c>
      <c r="H1089" s="42"/>
      <c r="I1089" s="42"/>
      <c r="J1089" s="42" t="s">
        <v>185</v>
      </c>
      <c r="K1089" s="42" t="s">
        <v>102</v>
      </c>
      <c r="L1089" s="81" t="s">
        <v>184</v>
      </c>
      <c r="M1089" s="82" t="str">
        <f>LEFT(Table1[[#This Row],[Tegevusala kood]],2)</f>
        <v>08</v>
      </c>
      <c r="N1089" s="53" t="str">
        <f>VLOOKUP(Table1[[#This Row],[Tegevusala kood]],Table4[[Tegevusala kood]:[Tegevusala alanimetus]],2,FALSE)</f>
        <v>Vinni Vallamuuseum</v>
      </c>
      <c r="O1089" s="42"/>
      <c r="P1089" s="42"/>
      <c r="Q1089" s="53" t="str">
        <f>VLOOKUP(Table1[[#This Row],[Eelarvekonto]],Table5[[Konto]:[Kontode alanimetus]],5,FALSE)</f>
        <v>Tööjõukulud</v>
      </c>
      <c r="R1089" s="53" t="str">
        <f>VLOOKUP(Table1[[#This Row],[Tegevusala kood]],Table4[[Tegevusala kood]:[Tegevusala alanimetus]],4,FALSE)</f>
        <v>Muuseumid</v>
      </c>
      <c r="S1089" s="53"/>
      <c r="T1089" s="53"/>
      <c r="U1089" s="53">
        <f>Table1[[#This Row],[Summa]]+Table1[[#This Row],[I Muudatus]]+Table1[[#This Row],[II Muudatus]]</f>
        <v>3000</v>
      </c>
    </row>
    <row r="1090" spans="1:21" ht="14.25" hidden="1" customHeight="1" x14ac:dyDescent="0.25">
      <c r="A1090" s="42" t="s">
        <v>1276</v>
      </c>
      <c r="B1090" s="42">
        <v>500</v>
      </c>
      <c r="C1090" s="53">
        <v>5540</v>
      </c>
      <c r="D1090" s="53" t="str">
        <f>LEFT(Table1[[#This Row],[Eelarvekonto]],2)</f>
        <v>55</v>
      </c>
      <c r="E1090" s="42" t="str">
        <f>VLOOKUP(Table1[[#This Row],[Eelarvekonto]],Table5[[Konto]:[Konto nimetus]],2,FALSE)</f>
        <v>Mitmesugused majanduskulud</v>
      </c>
      <c r="F1090" s="42" t="s">
        <v>139</v>
      </c>
      <c r="G1090" s="42" t="s">
        <v>24</v>
      </c>
      <c r="H1090" s="42"/>
      <c r="I1090" s="42"/>
      <c r="J1090" s="42" t="s">
        <v>185</v>
      </c>
      <c r="K1090" s="42" t="s">
        <v>102</v>
      </c>
      <c r="L1090" s="81" t="s">
        <v>184</v>
      </c>
      <c r="M1090" s="82" t="str">
        <f>LEFT(Table1[[#This Row],[Tegevusala kood]],2)</f>
        <v>08</v>
      </c>
      <c r="N1090" s="53" t="str">
        <f>VLOOKUP(Table1[[#This Row],[Tegevusala kood]],Table4[[Tegevusala kood]:[Tegevusala alanimetus]],2,FALSE)</f>
        <v>Vinni Vallamuuseum</v>
      </c>
      <c r="O1090" s="42"/>
      <c r="P1090" s="42"/>
      <c r="Q1090" s="53" t="str">
        <f>VLOOKUP(Table1[[#This Row],[Eelarvekonto]],Table5[[Konto]:[Kontode alanimetus]],5,FALSE)</f>
        <v>Majandamiskulud</v>
      </c>
      <c r="R1090" s="53" t="str">
        <f>VLOOKUP(Table1[[#This Row],[Tegevusala kood]],Table4[[Tegevusala kood]:[Tegevusala alanimetus]],4,FALSE)</f>
        <v>Muuseumid</v>
      </c>
      <c r="S1090" s="53"/>
      <c r="T1090" s="53"/>
      <c r="U1090" s="53">
        <f>Table1[[#This Row],[Summa]]+Table1[[#This Row],[I Muudatus]]+Table1[[#This Row],[II Muudatus]]</f>
        <v>500</v>
      </c>
    </row>
    <row r="1091" spans="1:21" ht="14.25" hidden="1" customHeight="1" x14ac:dyDescent="0.25">
      <c r="A1091" s="42" t="s">
        <v>1277</v>
      </c>
      <c r="B1091" s="42">
        <v>120</v>
      </c>
      <c r="C1091" s="53">
        <v>5511</v>
      </c>
      <c r="D1091" s="53" t="str">
        <f>LEFT(Table1[[#This Row],[Eelarvekonto]],2)</f>
        <v>55</v>
      </c>
      <c r="E1091" s="42" t="str">
        <f>VLOOKUP(Table1[[#This Row],[Eelarvekonto]],Table5[[Konto]:[Konto nimetus]],2,FALSE)</f>
        <v>Kinnistute, hoonete ja ruumide majandamiskulud</v>
      </c>
      <c r="F1091" s="42" t="s">
        <v>139</v>
      </c>
      <c r="G1091" s="42" t="s">
        <v>24</v>
      </c>
      <c r="H1091" s="42"/>
      <c r="I1091" s="42"/>
      <c r="J1091" s="42" t="s">
        <v>185</v>
      </c>
      <c r="K1091" s="42" t="s">
        <v>102</v>
      </c>
      <c r="L1091" s="81" t="s">
        <v>184</v>
      </c>
      <c r="M1091" s="82" t="str">
        <f>LEFT(Table1[[#This Row],[Tegevusala kood]],2)</f>
        <v>08</v>
      </c>
      <c r="N1091" s="53" t="str">
        <f>VLOOKUP(Table1[[#This Row],[Tegevusala kood]],Table4[[Tegevusala kood]:[Tegevusala alanimetus]],2,FALSE)</f>
        <v>Vinni Vallamuuseum</v>
      </c>
      <c r="O1091" s="42"/>
      <c r="P1091" s="42"/>
      <c r="Q1091" s="53" t="str">
        <f>VLOOKUP(Table1[[#This Row],[Eelarvekonto]],Table5[[Konto]:[Kontode alanimetus]],5,FALSE)</f>
        <v>Majandamiskulud</v>
      </c>
      <c r="R1091" s="53" t="str">
        <f>VLOOKUP(Table1[[#This Row],[Tegevusala kood]],Table4[[Tegevusala kood]:[Tegevusala alanimetus]],4,FALSE)</f>
        <v>Muuseumid</v>
      </c>
      <c r="S1091" s="53"/>
      <c r="T1091" s="53"/>
      <c r="U1091" s="53">
        <f>Table1[[#This Row],[Summa]]+Table1[[#This Row],[I Muudatus]]+Table1[[#This Row],[II Muudatus]]</f>
        <v>120</v>
      </c>
    </row>
    <row r="1092" spans="1:21" ht="14.25" hidden="1" customHeight="1" x14ac:dyDescent="0.25">
      <c r="A1092" s="42" t="s">
        <v>1278</v>
      </c>
      <c r="B1092" s="42">
        <v>300</v>
      </c>
      <c r="C1092" s="53">
        <v>5511</v>
      </c>
      <c r="D1092" s="53" t="str">
        <f>LEFT(Table1[[#This Row],[Eelarvekonto]],2)</f>
        <v>55</v>
      </c>
      <c r="E1092" s="42" t="str">
        <f>VLOOKUP(Table1[[#This Row],[Eelarvekonto]],Table5[[Konto]:[Konto nimetus]],2,FALSE)</f>
        <v>Kinnistute, hoonete ja ruumide majandamiskulud</v>
      </c>
      <c r="F1092" s="42" t="s">
        <v>139</v>
      </c>
      <c r="G1092" s="42" t="s">
        <v>24</v>
      </c>
      <c r="H1092" s="42"/>
      <c r="I1092" s="42"/>
      <c r="J1092" s="42" t="s">
        <v>185</v>
      </c>
      <c r="K1092" s="42" t="s">
        <v>102</v>
      </c>
      <c r="L1092" s="81" t="s">
        <v>184</v>
      </c>
      <c r="M1092" s="82" t="str">
        <f>LEFT(Table1[[#This Row],[Tegevusala kood]],2)</f>
        <v>08</v>
      </c>
      <c r="N1092" s="53" t="str">
        <f>VLOOKUP(Table1[[#This Row],[Tegevusala kood]],Table4[[Tegevusala kood]:[Tegevusala alanimetus]],2,FALSE)</f>
        <v>Vinni Vallamuuseum</v>
      </c>
      <c r="O1092" s="42"/>
      <c r="P1092" s="42"/>
      <c r="Q1092" s="53" t="str">
        <f>VLOOKUP(Table1[[#This Row],[Eelarvekonto]],Table5[[Konto]:[Kontode alanimetus]],5,FALSE)</f>
        <v>Majandamiskulud</v>
      </c>
      <c r="R1092" s="53" t="str">
        <f>VLOOKUP(Table1[[#This Row],[Tegevusala kood]],Table4[[Tegevusala kood]:[Tegevusala alanimetus]],4,FALSE)</f>
        <v>Muuseumid</v>
      </c>
      <c r="S1092" s="53"/>
      <c r="T1092" s="53"/>
      <c r="U1092" s="53">
        <f>Table1[[#This Row],[Summa]]+Table1[[#This Row],[I Muudatus]]+Table1[[#This Row],[II Muudatus]]</f>
        <v>300</v>
      </c>
    </row>
    <row r="1093" spans="1:21" ht="14.25" hidden="1" customHeight="1" x14ac:dyDescent="0.25">
      <c r="A1093" s="42" t="s">
        <v>1279</v>
      </c>
      <c r="B1093" s="42">
        <v>300</v>
      </c>
      <c r="C1093" s="53">
        <v>5511</v>
      </c>
      <c r="D1093" s="53" t="str">
        <f>LEFT(Table1[[#This Row],[Eelarvekonto]],2)</f>
        <v>55</v>
      </c>
      <c r="E1093" s="42" t="str">
        <f>VLOOKUP(Table1[[#This Row],[Eelarvekonto]],Table5[[Konto]:[Konto nimetus]],2,FALSE)</f>
        <v>Kinnistute, hoonete ja ruumide majandamiskulud</v>
      </c>
      <c r="F1093" s="42" t="s">
        <v>139</v>
      </c>
      <c r="G1093" s="42" t="s">
        <v>24</v>
      </c>
      <c r="H1093" s="42"/>
      <c r="I1093" s="42"/>
      <c r="J1093" s="42" t="s">
        <v>185</v>
      </c>
      <c r="K1093" s="42" t="s">
        <v>102</v>
      </c>
      <c r="L1093" s="81" t="s">
        <v>184</v>
      </c>
      <c r="M1093" s="82" t="str">
        <f>LEFT(Table1[[#This Row],[Tegevusala kood]],2)</f>
        <v>08</v>
      </c>
      <c r="N1093" s="53" t="str">
        <f>VLOOKUP(Table1[[#This Row],[Tegevusala kood]],Table4[[Tegevusala kood]:[Tegevusala alanimetus]],2,FALSE)</f>
        <v>Vinni Vallamuuseum</v>
      </c>
      <c r="O1093" s="42"/>
      <c r="P1093" s="42"/>
      <c r="Q1093" s="53" t="str">
        <f>VLOOKUP(Table1[[#This Row],[Eelarvekonto]],Table5[[Konto]:[Kontode alanimetus]],5,FALSE)</f>
        <v>Majandamiskulud</v>
      </c>
      <c r="R1093" s="53" t="str">
        <f>VLOOKUP(Table1[[#This Row],[Tegevusala kood]],Table4[[Tegevusala kood]:[Tegevusala alanimetus]],4,FALSE)</f>
        <v>Muuseumid</v>
      </c>
      <c r="S1093" s="53"/>
      <c r="T1093" s="53"/>
      <c r="U1093" s="53">
        <f>Table1[[#This Row],[Summa]]+Table1[[#This Row],[I Muudatus]]+Table1[[#This Row],[II Muudatus]]</f>
        <v>300</v>
      </c>
    </row>
    <row r="1094" spans="1:21" ht="14.25" hidden="1" customHeight="1" x14ac:dyDescent="0.25">
      <c r="A1094" s="42" t="s">
        <v>1280</v>
      </c>
      <c r="B1094" s="42">
        <v>200</v>
      </c>
      <c r="C1094" s="53">
        <v>5511</v>
      </c>
      <c r="D1094" s="53" t="str">
        <f>LEFT(Table1[[#This Row],[Eelarvekonto]],2)</f>
        <v>55</v>
      </c>
      <c r="E1094" s="42" t="str">
        <f>VLOOKUP(Table1[[#This Row],[Eelarvekonto]],Table5[[Konto]:[Konto nimetus]],2,FALSE)</f>
        <v>Kinnistute, hoonete ja ruumide majandamiskulud</v>
      </c>
      <c r="F1094" s="42" t="s">
        <v>139</v>
      </c>
      <c r="G1094" s="42" t="s">
        <v>24</v>
      </c>
      <c r="H1094" s="42"/>
      <c r="I1094" s="42"/>
      <c r="J1094" s="42" t="s">
        <v>185</v>
      </c>
      <c r="K1094" s="42" t="s">
        <v>102</v>
      </c>
      <c r="L1094" s="81" t="s">
        <v>184</v>
      </c>
      <c r="M1094" s="82" t="str">
        <f>LEFT(Table1[[#This Row],[Tegevusala kood]],2)</f>
        <v>08</v>
      </c>
      <c r="N1094" s="53" t="str">
        <f>VLOOKUP(Table1[[#This Row],[Tegevusala kood]],Table4[[Tegevusala kood]:[Tegevusala alanimetus]],2,FALSE)</f>
        <v>Vinni Vallamuuseum</v>
      </c>
      <c r="O1094" s="42"/>
      <c r="P1094" s="42"/>
      <c r="Q1094" s="53" t="str">
        <f>VLOOKUP(Table1[[#This Row],[Eelarvekonto]],Table5[[Konto]:[Kontode alanimetus]],5,FALSE)</f>
        <v>Majandamiskulud</v>
      </c>
      <c r="R1094" s="53" t="str">
        <f>VLOOKUP(Table1[[#This Row],[Tegevusala kood]],Table4[[Tegevusala kood]:[Tegevusala alanimetus]],4,FALSE)</f>
        <v>Muuseumid</v>
      </c>
      <c r="S1094" s="53"/>
      <c r="T1094" s="53"/>
      <c r="U1094" s="53">
        <f>Table1[[#This Row],[Summa]]+Table1[[#This Row],[I Muudatus]]+Table1[[#This Row],[II Muudatus]]</f>
        <v>200</v>
      </c>
    </row>
    <row r="1095" spans="1:21" ht="14.25" hidden="1" customHeight="1" x14ac:dyDescent="0.25">
      <c r="A1095" s="42" t="s">
        <v>1281</v>
      </c>
      <c r="B1095" s="42">
        <v>300</v>
      </c>
      <c r="C1095" s="53">
        <v>5514</v>
      </c>
      <c r="D1095" s="53" t="str">
        <f>LEFT(Table1[[#This Row],[Eelarvekonto]],2)</f>
        <v>55</v>
      </c>
      <c r="E1095" s="42" t="str">
        <f>VLOOKUP(Table1[[#This Row],[Eelarvekonto]],Table5[[Konto]:[Konto nimetus]],2,FALSE)</f>
        <v>Info- ja kommunikatsioonitehnoloogia kulud</v>
      </c>
      <c r="F1095" s="42" t="s">
        <v>139</v>
      </c>
      <c r="G1095" s="42" t="s">
        <v>24</v>
      </c>
      <c r="H1095" s="42"/>
      <c r="I1095" s="42"/>
      <c r="J1095" s="42" t="s">
        <v>185</v>
      </c>
      <c r="K1095" s="42" t="s">
        <v>102</v>
      </c>
      <c r="L1095" s="81" t="s">
        <v>184</v>
      </c>
      <c r="M1095" s="82" t="str">
        <f>LEFT(Table1[[#This Row],[Tegevusala kood]],2)</f>
        <v>08</v>
      </c>
      <c r="N1095" s="53" t="str">
        <f>VLOOKUP(Table1[[#This Row],[Tegevusala kood]],Table4[[Tegevusala kood]:[Tegevusala alanimetus]],2,FALSE)</f>
        <v>Vinni Vallamuuseum</v>
      </c>
      <c r="O1095" s="42"/>
      <c r="P1095" s="42"/>
      <c r="Q1095" s="53" t="str">
        <f>VLOOKUP(Table1[[#This Row],[Eelarvekonto]],Table5[[Konto]:[Kontode alanimetus]],5,FALSE)</f>
        <v>Majandamiskulud</v>
      </c>
      <c r="R1095" s="53" t="str">
        <f>VLOOKUP(Table1[[#This Row],[Tegevusala kood]],Table4[[Tegevusala kood]:[Tegevusala alanimetus]],4,FALSE)</f>
        <v>Muuseumid</v>
      </c>
      <c r="S1095" s="53"/>
      <c r="T1095" s="53"/>
      <c r="U1095" s="53">
        <f>Table1[[#This Row],[Summa]]+Table1[[#This Row],[I Muudatus]]+Table1[[#This Row],[II Muudatus]]</f>
        <v>300</v>
      </c>
    </row>
    <row r="1096" spans="1:21" ht="14.25" hidden="1" customHeight="1" x14ac:dyDescent="0.25">
      <c r="A1096" s="42" t="s">
        <v>1282</v>
      </c>
      <c r="B1096" s="42">
        <v>330</v>
      </c>
      <c r="C1096" s="53">
        <v>5522</v>
      </c>
      <c r="D1096" s="53" t="str">
        <f>LEFT(Table1[[#This Row],[Eelarvekonto]],2)</f>
        <v>55</v>
      </c>
      <c r="E1096" s="42" t="str">
        <f>VLOOKUP(Table1[[#This Row],[Eelarvekonto]],Table5[[Konto]:[Konto nimetus]],2,FALSE)</f>
        <v>Meditsiinikulud ja hügieenikulud</v>
      </c>
      <c r="F1096" s="42" t="s">
        <v>139</v>
      </c>
      <c r="G1096" s="42" t="s">
        <v>24</v>
      </c>
      <c r="H1096" s="42"/>
      <c r="I1096" s="42"/>
      <c r="J1096" s="42" t="s">
        <v>185</v>
      </c>
      <c r="K1096" s="42" t="s">
        <v>102</v>
      </c>
      <c r="L1096" s="81" t="s">
        <v>184</v>
      </c>
      <c r="M1096" s="82" t="str">
        <f>LEFT(Table1[[#This Row],[Tegevusala kood]],2)</f>
        <v>08</v>
      </c>
      <c r="N1096" s="53" t="str">
        <f>VLOOKUP(Table1[[#This Row],[Tegevusala kood]],Table4[[Tegevusala kood]:[Tegevusala alanimetus]],2,FALSE)</f>
        <v>Vinni Vallamuuseum</v>
      </c>
      <c r="O1096" s="42"/>
      <c r="P1096" s="42"/>
      <c r="Q1096" s="53" t="str">
        <f>VLOOKUP(Table1[[#This Row],[Eelarvekonto]],Table5[[Konto]:[Kontode alanimetus]],5,FALSE)</f>
        <v>Majandamiskulud</v>
      </c>
      <c r="R1096" s="53" t="str">
        <f>VLOOKUP(Table1[[#This Row],[Tegevusala kood]],Table4[[Tegevusala kood]:[Tegevusala alanimetus]],4,FALSE)</f>
        <v>Muuseumid</v>
      </c>
      <c r="S1096" s="53"/>
      <c r="T1096" s="53"/>
      <c r="U1096" s="53">
        <f>Table1[[#This Row],[Summa]]+Table1[[#This Row],[I Muudatus]]+Table1[[#This Row],[II Muudatus]]</f>
        <v>330</v>
      </c>
    </row>
    <row r="1097" spans="1:21" ht="14.25" hidden="1" customHeight="1" x14ac:dyDescent="0.25">
      <c r="A1097" s="42" t="s">
        <v>1283</v>
      </c>
      <c r="B1097" s="42">
        <v>550</v>
      </c>
      <c r="C1097" s="53">
        <v>5515</v>
      </c>
      <c r="D1097" s="53" t="str">
        <f>LEFT(Table1[[#This Row],[Eelarvekonto]],2)</f>
        <v>55</v>
      </c>
      <c r="E1097" s="42" t="str">
        <f>VLOOKUP(Table1[[#This Row],[Eelarvekonto]],Table5[[Konto]:[Konto nimetus]],2,FALSE)</f>
        <v>Inventari majandamiskulud</v>
      </c>
      <c r="F1097" s="42" t="s">
        <v>139</v>
      </c>
      <c r="G1097" s="42" t="s">
        <v>24</v>
      </c>
      <c r="H1097" s="42"/>
      <c r="I1097" s="42"/>
      <c r="J1097" s="42" t="s">
        <v>185</v>
      </c>
      <c r="K1097" s="42" t="s">
        <v>102</v>
      </c>
      <c r="L1097" s="81" t="s">
        <v>184</v>
      </c>
      <c r="M1097" s="82" t="str">
        <f>LEFT(Table1[[#This Row],[Tegevusala kood]],2)</f>
        <v>08</v>
      </c>
      <c r="N1097" s="53" t="str">
        <f>VLOOKUP(Table1[[#This Row],[Tegevusala kood]],Table4[[Tegevusala kood]:[Tegevusala alanimetus]],2,FALSE)</f>
        <v>Vinni Vallamuuseum</v>
      </c>
      <c r="O1097" s="42"/>
      <c r="P1097" s="42"/>
      <c r="Q1097" s="53" t="str">
        <f>VLOOKUP(Table1[[#This Row],[Eelarvekonto]],Table5[[Konto]:[Kontode alanimetus]],5,FALSE)</f>
        <v>Majandamiskulud</v>
      </c>
      <c r="R1097" s="53" t="str">
        <f>VLOOKUP(Table1[[#This Row],[Tegevusala kood]],Table4[[Tegevusala kood]:[Tegevusala alanimetus]],4,FALSE)</f>
        <v>Muuseumid</v>
      </c>
      <c r="S1097" s="53"/>
      <c r="T1097" s="53"/>
      <c r="U1097" s="53">
        <f>Table1[[#This Row],[Summa]]+Table1[[#This Row],[I Muudatus]]+Table1[[#This Row],[II Muudatus]]</f>
        <v>550</v>
      </c>
    </row>
    <row r="1098" spans="1:21" ht="14.25" hidden="1" customHeight="1" x14ac:dyDescent="0.25">
      <c r="A1098" s="42" t="s">
        <v>1284</v>
      </c>
      <c r="B1098" s="42">
        <v>160</v>
      </c>
      <c r="C1098" s="53">
        <v>5511</v>
      </c>
      <c r="D1098" s="53" t="str">
        <f>LEFT(Table1[[#This Row],[Eelarvekonto]],2)</f>
        <v>55</v>
      </c>
      <c r="E1098" s="42" t="str">
        <f>VLOOKUP(Table1[[#This Row],[Eelarvekonto]],Table5[[Konto]:[Konto nimetus]],2,FALSE)</f>
        <v>Kinnistute, hoonete ja ruumide majandamiskulud</v>
      </c>
      <c r="F1098" s="42" t="s">
        <v>139</v>
      </c>
      <c r="G1098" s="42" t="s">
        <v>24</v>
      </c>
      <c r="H1098" s="42"/>
      <c r="I1098" s="42"/>
      <c r="J1098" s="42" t="s">
        <v>185</v>
      </c>
      <c r="K1098" s="42" t="s">
        <v>102</v>
      </c>
      <c r="L1098" s="81" t="s">
        <v>184</v>
      </c>
      <c r="M1098" s="82" t="str">
        <f>LEFT(Table1[[#This Row],[Tegevusala kood]],2)</f>
        <v>08</v>
      </c>
      <c r="N1098" s="53" t="str">
        <f>VLOOKUP(Table1[[#This Row],[Tegevusala kood]],Table4[[Tegevusala kood]:[Tegevusala alanimetus]],2,FALSE)</f>
        <v>Vinni Vallamuuseum</v>
      </c>
      <c r="O1098" s="42"/>
      <c r="P1098" s="42"/>
      <c r="Q1098" s="53" t="str">
        <f>VLOOKUP(Table1[[#This Row],[Eelarvekonto]],Table5[[Konto]:[Kontode alanimetus]],5,FALSE)</f>
        <v>Majandamiskulud</v>
      </c>
      <c r="R1098" s="53" t="str">
        <f>VLOOKUP(Table1[[#This Row],[Tegevusala kood]],Table4[[Tegevusala kood]:[Tegevusala alanimetus]],4,FALSE)</f>
        <v>Muuseumid</v>
      </c>
      <c r="S1098" s="53"/>
      <c r="T1098" s="53"/>
      <c r="U1098" s="53">
        <f>Table1[[#This Row],[Summa]]+Table1[[#This Row],[I Muudatus]]+Table1[[#This Row],[II Muudatus]]</f>
        <v>160</v>
      </c>
    </row>
    <row r="1099" spans="1:21" ht="14.25" hidden="1" customHeight="1" x14ac:dyDescent="0.25">
      <c r="A1099" s="42" t="s">
        <v>140</v>
      </c>
      <c r="B1099" s="42">
        <v>300</v>
      </c>
      <c r="C1099" s="53">
        <v>5504</v>
      </c>
      <c r="D1099" s="53" t="str">
        <f>LEFT(Table1[[#This Row],[Eelarvekonto]],2)</f>
        <v>55</v>
      </c>
      <c r="E1099" s="42" t="str">
        <f>VLOOKUP(Table1[[#This Row],[Eelarvekonto]],Table5[[Konto]:[Konto nimetus]],2,FALSE)</f>
        <v>Koolituskulud (sh koolituslähetus)</v>
      </c>
      <c r="F1099" s="42" t="s">
        <v>139</v>
      </c>
      <c r="G1099" s="42" t="s">
        <v>24</v>
      </c>
      <c r="H1099" s="42"/>
      <c r="I1099" s="42"/>
      <c r="J1099" s="42" t="s">
        <v>185</v>
      </c>
      <c r="K1099" s="42" t="s">
        <v>102</v>
      </c>
      <c r="L1099" s="81" t="s">
        <v>184</v>
      </c>
      <c r="M1099" s="82" t="str">
        <f>LEFT(Table1[[#This Row],[Tegevusala kood]],2)</f>
        <v>08</v>
      </c>
      <c r="N1099" s="53" t="str">
        <f>VLOOKUP(Table1[[#This Row],[Tegevusala kood]],Table4[[Tegevusala kood]:[Tegevusala alanimetus]],2,FALSE)</f>
        <v>Vinni Vallamuuseum</v>
      </c>
      <c r="O1099" s="42"/>
      <c r="P1099" s="42"/>
      <c r="Q1099" s="53" t="str">
        <f>VLOOKUP(Table1[[#This Row],[Eelarvekonto]],Table5[[Konto]:[Kontode alanimetus]],5,FALSE)</f>
        <v>Majandamiskulud</v>
      </c>
      <c r="R1099" s="53" t="str">
        <f>VLOOKUP(Table1[[#This Row],[Tegevusala kood]],Table4[[Tegevusala kood]:[Tegevusala alanimetus]],4,FALSE)</f>
        <v>Muuseumid</v>
      </c>
      <c r="S1099" s="53"/>
      <c r="T1099" s="53"/>
      <c r="U1099" s="53">
        <f>Table1[[#This Row],[Summa]]+Table1[[#This Row],[I Muudatus]]+Table1[[#This Row],[II Muudatus]]</f>
        <v>300</v>
      </c>
    </row>
    <row r="1100" spans="1:21" ht="14.25" hidden="1" customHeight="1" x14ac:dyDescent="0.25">
      <c r="A1100" s="42" t="s">
        <v>1285</v>
      </c>
      <c r="B1100" s="42">
        <v>200</v>
      </c>
      <c r="C1100" s="53">
        <v>5511</v>
      </c>
      <c r="D1100" s="53" t="str">
        <f>LEFT(Table1[[#This Row],[Eelarvekonto]],2)</f>
        <v>55</v>
      </c>
      <c r="E1100" s="42" t="str">
        <f>VLOOKUP(Table1[[#This Row],[Eelarvekonto]],Table5[[Konto]:[Konto nimetus]],2,FALSE)</f>
        <v>Kinnistute, hoonete ja ruumide majandamiskulud</v>
      </c>
      <c r="F1100" s="42" t="s">
        <v>139</v>
      </c>
      <c r="G1100" s="42" t="s">
        <v>24</v>
      </c>
      <c r="H1100" s="42"/>
      <c r="I1100" s="42"/>
      <c r="J1100" s="42" t="s">
        <v>185</v>
      </c>
      <c r="K1100" s="42" t="s">
        <v>102</v>
      </c>
      <c r="L1100" s="81" t="s">
        <v>184</v>
      </c>
      <c r="M1100" s="82" t="str">
        <f>LEFT(Table1[[#This Row],[Tegevusala kood]],2)</f>
        <v>08</v>
      </c>
      <c r="N1100" s="53" t="str">
        <f>VLOOKUP(Table1[[#This Row],[Tegevusala kood]],Table4[[Tegevusala kood]:[Tegevusala alanimetus]],2,FALSE)</f>
        <v>Vinni Vallamuuseum</v>
      </c>
      <c r="O1100" s="42"/>
      <c r="P1100" s="42"/>
      <c r="Q1100" s="53" t="str">
        <f>VLOOKUP(Table1[[#This Row],[Eelarvekonto]],Table5[[Konto]:[Kontode alanimetus]],5,FALSE)</f>
        <v>Majandamiskulud</v>
      </c>
      <c r="R1100" s="53" t="str">
        <f>VLOOKUP(Table1[[#This Row],[Tegevusala kood]],Table4[[Tegevusala kood]:[Tegevusala alanimetus]],4,FALSE)</f>
        <v>Muuseumid</v>
      </c>
      <c r="S1100" s="53"/>
      <c r="T1100" s="53"/>
      <c r="U1100" s="53">
        <f>Table1[[#This Row],[Summa]]+Table1[[#This Row],[I Muudatus]]+Table1[[#This Row],[II Muudatus]]</f>
        <v>200</v>
      </c>
    </row>
    <row r="1101" spans="1:21" ht="14.25" hidden="1" customHeight="1" x14ac:dyDescent="0.25">
      <c r="A1101" s="42" t="s">
        <v>1286</v>
      </c>
      <c r="B1101" s="42">
        <v>150</v>
      </c>
      <c r="C1101" s="53">
        <v>5515</v>
      </c>
      <c r="D1101" s="53" t="str">
        <f>LEFT(Table1[[#This Row],[Eelarvekonto]],2)</f>
        <v>55</v>
      </c>
      <c r="E1101" s="42" t="str">
        <f>VLOOKUP(Table1[[#This Row],[Eelarvekonto]],Table5[[Konto]:[Konto nimetus]],2,FALSE)</f>
        <v>Inventari majandamiskulud</v>
      </c>
      <c r="F1101" s="42" t="s">
        <v>139</v>
      </c>
      <c r="G1101" s="42" t="s">
        <v>24</v>
      </c>
      <c r="H1101" s="42"/>
      <c r="I1101" s="42"/>
      <c r="J1101" s="42" t="s">
        <v>185</v>
      </c>
      <c r="K1101" s="42" t="s">
        <v>102</v>
      </c>
      <c r="L1101" s="81" t="s">
        <v>184</v>
      </c>
      <c r="M1101" s="82" t="str">
        <f>LEFT(Table1[[#This Row],[Tegevusala kood]],2)</f>
        <v>08</v>
      </c>
      <c r="N1101" s="53" t="str">
        <f>VLOOKUP(Table1[[#This Row],[Tegevusala kood]],Table4[[Tegevusala kood]:[Tegevusala alanimetus]],2,FALSE)</f>
        <v>Vinni Vallamuuseum</v>
      </c>
      <c r="O1101" s="42"/>
      <c r="P1101" s="42"/>
      <c r="Q1101" s="53" t="str">
        <f>VLOOKUP(Table1[[#This Row],[Eelarvekonto]],Table5[[Konto]:[Kontode alanimetus]],5,FALSE)</f>
        <v>Majandamiskulud</v>
      </c>
      <c r="R1101" s="53" t="str">
        <f>VLOOKUP(Table1[[#This Row],[Tegevusala kood]],Table4[[Tegevusala kood]:[Tegevusala alanimetus]],4,FALSE)</f>
        <v>Muuseumid</v>
      </c>
      <c r="S1101" s="53"/>
      <c r="T1101" s="53"/>
      <c r="U1101" s="53">
        <f>Table1[[#This Row],[Summa]]+Table1[[#This Row],[I Muudatus]]+Table1[[#This Row],[II Muudatus]]</f>
        <v>150</v>
      </c>
    </row>
    <row r="1102" spans="1:21" ht="14.25" hidden="1" customHeight="1" x14ac:dyDescent="0.25">
      <c r="A1102" s="42" t="s">
        <v>186</v>
      </c>
      <c r="B1102" s="42">
        <v>100</v>
      </c>
      <c r="C1102" s="53">
        <v>5500</v>
      </c>
      <c r="D1102" s="53" t="str">
        <f>LEFT(Table1[[#This Row],[Eelarvekonto]],2)</f>
        <v>55</v>
      </c>
      <c r="E1102" s="42" t="str">
        <f>VLOOKUP(Table1[[#This Row],[Eelarvekonto]],Table5[[Konto]:[Konto nimetus]],2,FALSE)</f>
        <v>Administreerimiskulud</v>
      </c>
      <c r="F1102" s="42" t="s">
        <v>139</v>
      </c>
      <c r="G1102" s="42" t="s">
        <v>24</v>
      </c>
      <c r="H1102" s="42"/>
      <c r="I1102" s="42"/>
      <c r="J1102" s="42" t="s">
        <v>185</v>
      </c>
      <c r="K1102" s="42" t="s">
        <v>102</v>
      </c>
      <c r="L1102" s="81" t="s">
        <v>184</v>
      </c>
      <c r="M1102" s="82" t="str">
        <f>LEFT(Table1[[#This Row],[Tegevusala kood]],2)</f>
        <v>08</v>
      </c>
      <c r="N1102" s="53" t="str">
        <f>VLOOKUP(Table1[[#This Row],[Tegevusala kood]],Table4[[Tegevusala kood]:[Tegevusala alanimetus]],2,FALSE)</f>
        <v>Vinni Vallamuuseum</v>
      </c>
      <c r="O1102" s="42"/>
      <c r="P1102" s="42"/>
      <c r="Q1102" s="53" t="str">
        <f>VLOOKUP(Table1[[#This Row],[Eelarvekonto]],Table5[[Konto]:[Kontode alanimetus]],5,FALSE)</f>
        <v>Majandamiskulud</v>
      </c>
      <c r="R1102" s="53" t="str">
        <f>VLOOKUP(Table1[[#This Row],[Tegevusala kood]],Table4[[Tegevusala kood]:[Tegevusala alanimetus]],4,FALSE)</f>
        <v>Muuseumid</v>
      </c>
      <c r="S1102" s="53"/>
      <c r="T1102" s="53"/>
      <c r="U1102" s="53">
        <f>Table1[[#This Row],[Summa]]+Table1[[#This Row],[I Muudatus]]+Table1[[#This Row],[II Muudatus]]</f>
        <v>100</v>
      </c>
    </row>
    <row r="1103" spans="1:21" ht="14.25" hidden="1" customHeight="1" x14ac:dyDescent="0.25">
      <c r="A1103" s="42" t="s">
        <v>1287</v>
      </c>
      <c r="B1103" s="42">
        <v>170</v>
      </c>
      <c r="C1103" s="53">
        <v>5500</v>
      </c>
      <c r="D1103" s="53" t="str">
        <f>LEFT(Table1[[#This Row],[Eelarvekonto]],2)</f>
        <v>55</v>
      </c>
      <c r="E1103" s="42" t="str">
        <f>VLOOKUP(Table1[[#This Row],[Eelarvekonto]],Table5[[Konto]:[Konto nimetus]],2,FALSE)</f>
        <v>Administreerimiskulud</v>
      </c>
      <c r="F1103" s="42" t="s">
        <v>139</v>
      </c>
      <c r="G1103" s="42" t="s">
        <v>24</v>
      </c>
      <c r="H1103" s="42"/>
      <c r="I1103" s="42"/>
      <c r="J1103" s="42" t="s">
        <v>185</v>
      </c>
      <c r="K1103" s="42" t="s">
        <v>102</v>
      </c>
      <c r="L1103" s="81" t="s">
        <v>184</v>
      </c>
      <c r="M1103" s="82" t="str">
        <f>LEFT(Table1[[#This Row],[Tegevusala kood]],2)</f>
        <v>08</v>
      </c>
      <c r="N1103" s="53" t="str">
        <f>VLOOKUP(Table1[[#This Row],[Tegevusala kood]],Table4[[Tegevusala kood]:[Tegevusala alanimetus]],2,FALSE)</f>
        <v>Vinni Vallamuuseum</v>
      </c>
      <c r="O1103" s="42"/>
      <c r="P1103" s="42"/>
      <c r="Q1103" s="53" t="str">
        <f>VLOOKUP(Table1[[#This Row],[Eelarvekonto]],Table5[[Konto]:[Kontode alanimetus]],5,FALSE)</f>
        <v>Majandamiskulud</v>
      </c>
      <c r="R1103" s="53" t="str">
        <f>VLOOKUP(Table1[[#This Row],[Tegevusala kood]],Table4[[Tegevusala kood]:[Tegevusala alanimetus]],4,FALSE)</f>
        <v>Muuseumid</v>
      </c>
      <c r="S1103" s="53"/>
      <c r="T1103" s="53"/>
      <c r="U1103" s="53">
        <f>Table1[[#This Row],[Summa]]+Table1[[#This Row],[I Muudatus]]+Table1[[#This Row],[II Muudatus]]</f>
        <v>170</v>
      </c>
    </row>
    <row r="1104" spans="1:21" ht="14.25" hidden="1" customHeight="1" x14ac:dyDescent="0.25">
      <c r="A1104" s="42" t="s">
        <v>141</v>
      </c>
      <c r="B1104" s="42">
        <v>400</v>
      </c>
      <c r="C1104" s="53">
        <v>5525</v>
      </c>
      <c r="D1104" s="53" t="str">
        <f>LEFT(Table1[[#This Row],[Eelarvekonto]],2)</f>
        <v>55</v>
      </c>
      <c r="E1104" s="42" t="str">
        <f>VLOOKUP(Table1[[#This Row],[Eelarvekonto]],Table5[[Konto]:[Konto nimetus]],2,FALSE)</f>
        <v>Kommunikatsiooni-, kultuuri- ja vaba aja sisustamise kulud</v>
      </c>
      <c r="F1104" s="42" t="s">
        <v>139</v>
      </c>
      <c r="G1104" s="42" t="s">
        <v>24</v>
      </c>
      <c r="H1104" s="42"/>
      <c r="I1104" s="42"/>
      <c r="J1104" s="42" t="s">
        <v>185</v>
      </c>
      <c r="K1104" s="42" t="s">
        <v>102</v>
      </c>
      <c r="L1104" s="81" t="s">
        <v>184</v>
      </c>
      <c r="M1104" s="82" t="str">
        <f>LEFT(Table1[[#This Row],[Tegevusala kood]],2)</f>
        <v>08</v>
      </c>
      <c r="N1104" s="53" t="str">
        <f>VLOOKUP(Table1[[#This Row],[Tegevusala kood]],Table4[[Tegevusala kood]:[Tegevusala alanimetus]],2,FALSE)</f>
        <v>Vinni Vallamuuseum</v>
      </c>
      <c r="O1104" s="42"/>
      <c r="P1104" s="42"/>
      <c r="Q1104" s="53" t="str">
        <f>VLOOKUP(Table1[[#This Row],[Eelarvekonto]],Table5[[Konto]:[Kontode alanimetus]],5,FALSE)</f>
        <v>Majandamiskulud</v>
      </c>
      <c r="R1104" s="53" t="str">
        <f>VLOOKUP(Table1[[#This Row],[Tegevusala kood]],Table4[[Tegevusala kood]:[Tegevusala alanimetus]],4,FALSE)</f>
        <v>Muuseumid</v>
      </c>
      <c r="S1104" s="53"/>
      <c r="T1104" s="53"/>
      <c r="U1104" s="53">
        <f>Table1[[#This Row],[Summa]]+Table1[[#This Row],[I Muudatus]]+Table1[[#This Row],[II Muudatus]]</f>
        <v>400</v>
      </c>
    </row>
    <row r="1105" spans="1:21" ht="14.25" hidden="1" customHeight="1" x14ac:dyDescent="0.25">
      <c r="A1105" s="42" t="s">
        <v>221</v>
      </c>
      <c r="B1105" s="42">
        <v>950</v>
      </c>
      <c r="C1105" s="53">
        <v>5500</v>
      </c>
      <c r="D1105" s="53" t="str">
        <f>LEFT(Table1[[#This Row],[Eelarvekonto]],2)</f>
        <v>55</v>
      </c>
      <c r="E1105" s="42" t="str">
        <f>VLOOKUP(Table1[[#This Row],[Eelarvekonto]],Table5[[Konto]:[Konto nimetus]],2,FALSE)</f>
        <v>Administreerimiskulud</v>
      </c>
      <c r="F1105" s="42" t="s">
        <v>139</v>
      </c>
      <c r="G1105" s="42" t="s">
        <v>24</v>
      </c>
      <c r="H1105" s="42"/>
      <c r="I1105" s="42"/>
      <c r="J1105" s="42" t="s">
        <v>185</v>
      </c>
      <c r="K1105" s="42" t="s">
        <v>102</v>
      </c>
      <c r="L1105" s="81" t="s">
        <v>184</v>
      </c>
      <c r="M1105" s="82" t="str">
        <f>LEFT(Table1[[#This Row],[Tegevusala kood]],2)</f>
        <v>08</v>
      </c>
      <c r="N1105" s="53" t="str">
        <f>VLOOKUP(Table1[[#This Row],[Tegevusala kood]],Table4[[Tegevusala kood]:[Tegevusala alanimetus]],2,FALSE)</f>
        <v>Vinni Vallamuuseum</v>
      </c>
      <c r="O1105" s="42"/>
      <c r="P1105" s="42"/>
      <c r="Q1105" s="53" t="str">
        <f>VLOOKUP(Table1[[#This Row],[Eelarvekonto]],Table5[[Konto]:[Kontode alanimetus]],5,FALSE)</f>
        <v>Majandamiskulud</v>
      </c>
      <c r="R1105" s="53" t="str">
        <f>VLOOKUP(Table1[[#This Row],[Tegevusala kood]],Table4[[Tegevusala kood]:[Tegevusala alanimetus]],4,FALSE)</f>
        <v>Muuseumid</v>
      </c>
      <c r="S1105" s="53"/>
      <c r="T1105" s="53"/>
      <c r="U1105" s="53">
        <f>Table1[[#This Row],[Summa]]+Table1[[#This Row],[I Muudatus]]+Table1[[#This Row],[II Muudatus]]</f>
        <v>950</v>
      </c>
    </row>
    <row r="1106" spans="1:21" ht="14.25" hidden="1" customHeight="1" x14ac:dyDescent="0.25">
      <c r="A1106" s="42" t="s">
        <v>1275</v>
      </c>
      <c r="B1106" s="42">
        <v>500</v>
      </c>
      <c r="C1106" s="53">
        <v>5514</v>
      </c>
      <c r="D1106" s="53" t="str">
        <f>LEFT(Table1[[#This Row],[Eelarvekonto]],2)</f>
        <v>55</v>
      </c>
      <c r="E1106" s="42" t="str">
        <f>VLOOKUP(Table1[[#This Row],[Eelarvekonto]],Table5[[Konto]:[Konto nimetus]],2,FALSE)</f>
        <v>Info- ja kommunikatsioonitehnoloogia kulud</v>
      </c>
      <c r="F1106" s="42" t="s">
        <v>139</v>
      </c>
      <c r="G1106" s="42" t="s">
        <v>24</v>
      </c>
      <c r="H1106" s="42"/>
      <c r="I1106" s="42"/>
      <c r="J1106" s="42" t="s">
        <v>185</v>
      </c>
      <c r="K1106" s="42" t="s">
        <v>102</v>
      </c>
      <c r="L1106" s="81" t="s">
        <v>184</v>
      </c>
      <c r="M1106" s="82" t="str">
        <f>LEFT(Table1[[#This Row],[Tegevusala kood]],2)</f>
        <v>08</v>
      </c>
      <c r="N1106" s="53" t="str">
        <f>VLOOKUP(Table1[[#This Row],[Tegevusala kood]],Table4[[Tegevusala kood]:[Tegevusala alanimetus]],2,FALSE)</f>
        <v>Vinni Vallamuuseum</v>
      </c>
      <c r="O1106" s="42"/>
      <c r="P1106" s="42"/>
      <c r="Q1106" s="53" t="str">
        <f>VLOOKUP(Table1[[#This Row],[Eelarvekonto]],Table5[[Konto]:[Kontode alanimetus]],5,FALSE)</f>
        <v>Majandamiskulud</v>
      </c>
      <c r="R1106" s="53" t="str">
        <f>VLOOKUP(Table1[[#This Row],[Tegevusala kood]],Table4[[Tegevusala kood]:[Tegevusala alanimetus]],4,FALSE)</f>
        <v>Muuseumid</v>
      </c>
      <c r="S1106" s="53"/>
      <c r="T1106" s="53"/>
      <c r="U1106" s="53">
        <f>Table1[[#This Row],[Summa]]+Table1[[#This Row],[I Muudatus]]+Table1[[#This Row],[II Muudatus]]</f>
        <v>500</v>
      </c>
    </row>
    <row r="1107" spans="1:21" ht="14.25" hidden="1" customHeight="1" x14ac:dyDescent="0.25">
      <c r="A1107" s="42" t="s">
        <v>1288</v>
      </c>
      <c r="B1107" s="42">
        <v>100</v>
      </c>
      <c r="C1107" s="53">
        <v>5511</v>
      </c>
      <c r="D1107" s="53" t="str">
        <f>LEFT(Table1[[#This Row],[Eelarvekonto]],2)</f>
        <v>55</v>
      </c>
      <c r="E1107" s="42" t="str">
        <f>VLOOKUP(Table1[[#This Row],[Eelarvekonto]],Table5[[Konto]:[Konto nimetus]],2,FALSE)</f>
        <v>Kinnistute, hoonete ja ruumide majandamiskulud</v>
      </c>
      <c r="F1107" s="42" t="s">
        <v>139</v>
      </c>
      <c r="G1107" s="42" t="s">
        <v>24</v>
      </c>
      <c r="H1107" s="42"/>
      <c r="I1107" s="42"/>
      <c r="J1107" s="42" t="s">
        <v>185</v>
      </c>
      <c r="K1107" s="42" t="s">
        <v>102</v>
      </c>
      <c r="L1107" s="81" t="s">
        <v>184</v>
      </c>
      <c r="M1107" s="82" t="str">
        <f>LEFT(Table1[[#This Row],[Tegevusala kood]],2)</f>
        <v>08</v>
      </c>
      <c r="N1107" s="53" t="str">
        <f>VLOOKUP(Table1[[#This Row],[Tegevusala kood]],Table4[[Tegevusala kood]:[Tegevusala alanimetus]],2,FALSE)</f>
        <v>Vinni Vallamuuseum</v>
      </c>
      <c r="O1107" s="42"/>
      <c r="P1107" s="42"/>
      <c r="Q1107" s="53" t="str">
        <f>VLOOKUP(Table1[[#This Row],[Eelarvekonto]],Table5[[Konto]:[Kontode alanimetus]],5,FALSE)</f>
        <v>Majandamiskulud</v>
      </c>
      <c r="R1107" s="53" t="str">
        <f>VLOOKUP(Table1[[#This Row],[Tegevusala kood]],Table4[[Tegevusala kood]:[Tegevusala alanimetus]],4,FALSE)</f>
        <v>Muuseumid</v>
      </c>
      <c r="S1107" s="53"/>
      <c r="T1107" s="53"/>
      <c r="U1107" s="53">
        <f>Table1[[#This Row],[Summa]]+Table1[[#This Row],[I Muudatus]]+Table1[[#This Row],[II Muudatus]]</f>
        <v>100</v>
      </c>
    </row>
    <row r="1108" spans="1:21" ht="14.25" hidden="1" customHeight="1" x14ac:dyDescent="0.25">
      <c r="A1108" s="42" t="s">
        <v>1289</v>
      </c>
      <c r="B1108" s="42">
        <v>2880</v>
      </c>
      <c r="C1108" s="53">
        <v>5500</v>
      </c>
      <c r="D1108" s="53" t="str">
        <f>LEFT(Table1[[#This Row],[Eelarvekonto]],2)</f>
        <v>55</v>
      </c>
      <c r="E1108" s="42" t="str">
        <f>VLOOKUP(Table1[[#This Row],[Eelarvekonto]],Table5[[Konto]:[Konto nimetus]],2,FALSE)</f>
        <v>Administreerimiskulud</v>
      </c>
      <c r="F1108" s="42" t="s">
        <v>139</v>
      </c>
      <c r="G1108" s="42" t="s">
        <v>24</v>
      </c>
      <c r="H1108" s="42"/>
      <c r="I1108" s="42"/>
      <c r="J1108" s="42" t="s">
        <v>185</v>
      </c>
      <c r="K1108" s="42" t="s">
        <v>102</v>
      </c>
      <c r="L1108" s="81" t="s">
        <v>184</v>
      </c>
      <c r="M1108" s="82" t="str">
        <f>LEFT(Table1[[#This Row],[Tegevusala kood]],2)</f>
        <v>08</v>
      </c>
      <c r="N1108" s="53" t="str">
        <f>VLOOKUP(Table1[[#This Row],[Tegevusala kood]],Table4[[Tegevusala kood]:[Tegevusala alanimetus]],2,FALSE)</f>
        <v>Vinni Vallamuuseum</v>
      </c>
      <c r="O1108" s="42"/>
      <c r="P1108" s="42"/>
      <c r="Q1108" s="53" t="str">
        <f>VLOOKUP(Table1[[#This Row],[Eelarvekonto]],Table5[[Konto]:[Kontode alanimetus]],5,FALSE)</f>
        <v>Majandamiskulud</v>
      </c>
      <c r="R1108" s="53" t="str">
        <f>VLOOKUP(Table1[[#This Row],[Tegevusala kood]],Table4[[Tegevusala kood]:[Tegevusala alanimetus]],4,FALSE)</f>
        <v>Muuseumid</v>
      </c>
      <c r="S1108" s="53"/>
      <c r="T1108" s="53"/>
      <c r="U1108" s="53">
        <f>Table1[[#This Row],[Summa]]+Table1[[#This Row],[I Muudatus]]+Table1[[#This Row],[II Muudatus]]</f>
        <v>2880</v>
      </c>
    </row>
    <row r="1109" spans="1:21" ht="14.25" hidden="1" customHeight="1" x14ac:dyDescent="0.25">
      <c r="A1109" s="42" t="s">
        <v>140</v>
      </c>
      <c r="B1109" s="42">
        <v>85</v>
      </c>
      <c r="C1109" s="53">
        <v>5504</v>
      </c>
      <c r="D1109" s="53" t="str">
        <f>LEFT(Table1[[#This Row],[Eelarvekonto]],2)</f>
        <v>55</v>
      </c>
      <c r="E1109" s="42" t="str">
        <f>VLOOKUP(Table1[[#This Row],[Eelarvekonto]],Table5[[Konto]:[Konto nimetus]],2,FALSE)</f>
        <v>Koolituskulud (sh koolituslähetus)</v>
      </c>
      <c r="F1109" s="42" t="s">
        <v>139</v>
      </c>
      <c r="G1109" s="42" t="s">
        <v>24</v>
      </c>
      <c r="H1109" s="42"/>
      <c r="I1109" s="42"/>
      <c r="J1109" s="42" t="s">
        <v>231</v>
      </c>
      <c r="K1109" s="42" t="s">
        <v>230</v>
      </c>
      <c r="L1109" s="81" t="s">
        <v>229</v>
      </c>
      <c r="M1109" s="82" t="str">
        <f>LEFT(Table1[[#This Row],[Tegevusala kood]],2)</f>
        <v>08</v>
      </c>
      <c r="N1109" s="53" t="str">
        <f>VLOOKUP(Table1[[#This Row],[Tegevusala kood]],Table4[[Tegevusala kood]:[Tegevusala alanimetus]],2,FALSE)</f>
        <v>Viru-Jaagupi Raamatukogu</v>
      </c>
      <c r="O1109" s="42"/>
      <c r="P1109" s="42"/>
      <c r="Q1109" s="53" t="str">
        <f>VLOOKUP(Table1[[#This Row],[Eelarvekonto]],Table5[[Konto]:[Kontode alanimetus]],5,FALSE)</f>
        <v>Majandamiskulud</v>
      </c>
      <c r="R1109" s="53" t="str">
        <f>VLOOKUP(Table1[[#This Row],[Tegevusala kood]],Table4[[Tegevusala kood]:[Tegevusala alanimetus]],4,FALSE)</f>
        <v>Raamatukogud</v>
      </c>
      <c r="S1109" s="53"/>
      <c r="T1109" s="53"/>
      <c r="U1109" s="53">
        <f>Table1[[#This Row],[Summa]]+Table1[[#This Row],[I Muudatus]]+Table1[[#This Row],[II Muudatus]]</f>
        <v>85</v>
      </c>
    </row>
    <row r="1110" spans="1:21" ht="14.25" hidden="1" customHeight="1" x14ac:dyDescent="0.25">
      <c r="A1110" s="42" t="s">
        <v>178</v>
      </c>
      <c r="B1110" s="42">
        <v>150</v>
      </c>
      <c r="C1110" s="53">
        <v>5540</v>
      </c>
      <c r="D1110" s="53" t="str">
        <f>LEFT(Table1[[#This Row],[Eelarvekonto]],2)</f>
        <v>55</v>
      </c>
      <c r="E1110" s="42" t="str">
        <f>VLOOKUP(Table1[[#This Row],[Eelarvekonto]],Table5[[Konto]:[Konto nimetus]],2,FALSE)</f>
        <v>Mitmesugused majanduskulud</v>
      </c>
      <c r="F1110" s="42" t="s">
        <v>139</v>
      </c>
      <c r="G1110" s="42" t="s">
        <v>24</v>
      </c>
      <c r="H1110" s="42"/>
      <c r="I1110" s="42"/>
      <c r="J1110" s="42" t="s">
        <v>231</v>
      </c>
      <c r="K1110" s="42" t="s">
        <v>230</v>
      </c>
      <c r="L1110" s="81" t="s">
        <v>229</v>
      </c>
      <c r="M1110" s="82" t="str">
        <f>LEFT(Table1[[#This Row],[Tegevusala kood]],2)</f>
        <v>08</v>
      </c>
      <c r="N1110" s="53" t="str">
        <f>VLOOKUP(Table1[[#This Row],[Tegevusala kood]],Table4[[Tegevusala kood]:[Tegevusala alanimetus]],2,FALSE)</f>
        <v>Viru-Jaagupi Raamatukogu</v>
      </c>
      <c r="O1110" s="42"/>
      <c r="P1110" s="42"/>
      <c r="Q1110" s="53" t="str">
        <f>VLOOKUP(Table1[[#This Row],[Eelarvekonto]],Table5[[Konto]:[Kontode alanimetus]],5,FALSE)</f>
        <v>Majandamiskulud</v>
      </c>
      <c r="R1110" s="53" t="str">
        <f>VLOOKUP(Table1[[#This Row],[Tegevusala kood]],Table4[[Tegevusala kood]:[Tegevusala alanimetus]],4,FALSE)</f>
        <v>Raamatukogud</v>
      </c>
      <c r="S1110" s="53"/>
      <c r="T1110" s="53"/>
      <c r="U1110" s="53">
        <f>Table1[[#This Row],[Summa]]+Table1[[#This Row],[I Muudatus]]+Table1[[#This Row],[II Muudatus]]</f>
        <v>150</v>
      </c>
    </row>
    <row r="1111" spans="1:21" ht="14.25" hidden="1" customHeight="1" x14ac:dyDescent="0.25">
      <c r="A1111" s="42" t="s">
        <v>1163</v>
      </c>
      <c r="B1111" s="42">
        <v>450</v>
      </c>
      <c r="C1111" s="53">
        <v>5514</v>
      </c>
      <c r="D1111" s="53" t="str">
        <f>LEFT(Table1[[#This Row],[Eelarvekonto]],2)</f>
        <v>55</v>
      </c>
      <c r="E1111" s="42" t="str">
        <f>VLOOKUP(Table1[[#This Row],[Eelarvekonto]],Table5[[Konto]:[Konto nimetus]],2,FALSE)</f>
        <v>Info- ja kommunikatsioonitehnoloogia kulud</v>
      </c>
      <c r="F1111" s="42" t="s">
        <v>139</v>
      </c>
      <c r="G1111" s="42" t="s">
        <v>24</v>
      </c>
      <c r="H1111" s="42"/>
      <c r="I1111" s="42"/>
      <c r="J1111" s="42" t="s">
        <v>231</v>
      </c>
      <c r="K1111" s="42" t="s">
        <v>230</v>
      </c>
      <c r="L1111" s="81" t="s">
        <v>229</v>
      </c>
      <c r="M1111" s="82" t="str">
        <f>LEFT(Table1[[#This Row],[Tegevusala kood]],2)</f>
        <v>08</v>
      </c>
      <c r="N1111" s="53" t="str">
        <f>VLOOKUP(Table1[[#This Row],[Tegevusala kood]],Table4[[Tegevusala kood]:[Tegevusala alanimetus]],2,FALSE)</f>
        <v>Viru-Jaagupi Raamatukogu</v>
      </c>
      <c r="O1111" s="42"/>
      <c r="P1111" s="42"/>
      <c r="Q1111" s="53" t="str">
        <f>VLOOKUP(Table1[[#This Row],[Eelarvekonto]],Table5[[Konto]:[Kontode alanimetus]],5,FALSE)</f>
        <v>Majandamiskulud</v>
      </c>
      <c r="R1111" s="53" t="str">
        <f>VLOOKUP(Table1[[#This Row],[Tegevusala kood]],Table4[[Tegevusala kood]:[Tegevusala alanimetus]],4,FALSE)</f>
        <v>Raamatukogud</v>
      </c>
      <c r="S1111" s="53"/>
      <c r="T1111" s="53"/>
      <c r="U1111" s="53">
        <f>Table1[[#This Row],[Summa]]+Table1[[#This Row],[I Muudatus]]+Table1[[#This Row],[II Muudatus]]</f>
        <v>450</v>
      </c>
    </row>
    <row r="1112" spans="1:21" ht="14.25" hidden="1" customHeight="1" x14ac:dyDescent="0.25">
      <c r="A1112" s="42" t="s">
        <v>142</v>
      </c>
      <c r="B1112" s="42">
        <v>180</v>
      </c>
      <c r="C1112" s="53">
        <v>5511</v>
      </c>
      <c r="D1112" s="53" t="str">
        <f>LEFT(Table1[[#This Row],[Eelarvekonto]],2)</f>
        <v>55</v>
      </c>
      <c r="E1112" s="42" t="str">
        <f>VLOOKUP(Table1[[#This Row],[Eelarvekonto]],Table5[[Konto]:[Konto nimetus]],2,FALSE)</f>
        <v>Kinnistute, hoonete ja ruumide majandamiskulud</v>
      </c>
      <c r="F1112" s="42" t="s">
        <v>139</v>
      </c>
      <c r="G1112" s="42" t="s">
        <v>24</v>
      </c>
      <c r="H1112" s="42"/>
      <c r="I1112" s="42"/>
      <c r="J1112" s="42" t="s">
        <v>231</v>
      </c>
      <c r="K1112" s="42" t="s">
        <v>230</v>
      </c>
      <c r="L1112" s="81" t="s">
        <v>229</v>
      </c>
      <c r="M1112" s="82" t="str">
        <f>LEFT(Table1[[#This Row],[Tegevusala kood]],2)</f>
        <v>08</v>
      </c>
      <c r="N1112" s="53" t="str">
        <f>VLOOKUP(Table1[[#This Row],[Tegevusala kood]],Table4[[Tegevusala kood]:[Tegevusala alanimetus]],2,FALSE)</f>
        <v>Viru-Jaagupi Raamatukogu</v>
      </c>
      <c r="O1112" s="42"/>
      <c r="P1112" s="42"/>
      <c r="Q1112" s="53" t="str">
        <f>VLOOKUP(Table1[[#This Row],[Eelarvekonto]],Table5[[Konto]:[Kontode alanimetus]],5,FALSE)</f>
        <v>Majandamiskulud</v>
      </c>
      <c r="R1112" s="53" t="str">
        <f>VLOOKUP(Table1[[#This Row],[Tegevusala kood]],Table4[[Tegevusala kood]:[Tegevusala alanimetus]],4,FALSE)</f>
        <v>Raamatukogud</v>
      </c>
      <c r="S1112" s="53"/>
      <c r="T1112" s="53"/>
      <c r="U1112" s="53">
        <f>Table1[[#This Row],[Summa]]+Table1[[#This Row],[I Muudatus]]+Table1[[#This Row],[II Muudatus]]</f>
        <v>180</v>
      </c>
    </row>
    <row r="1113" spans="1:21" ht="14.25" hidden="1" customHeight="1" x14ac:dyDescent="0.25">
      <c r="A1113" s="42" t="s">
        <v>144</v>
      </c>
      <c r="B1113" s="42">
        <v>900</v>
      </c>
      <c r="C1113" s="53">
        <v>5500</v>
      </c>
      <c r="D1113" s="53" t="str">
        <f>LEFT(Table1[[#This Row],[Eelarvekonto]],2)</f>
        <v>55</v>
      </c>
      <c r="E1113" s="42" t="str">
        <f>VLOOKUP(Table1[[#This Row],[Eelarvekonto]],Table5[[Konto]:[Konto nimetus]],2,FALSE)</f>
        <v>Administreerimiskulud</v>
      </c>
      <c r="F1113" s="42" t="s">
        <v>139</v>
      </c>
      <c r="G1113" s="42" t="s">
        <v>24</v>
      </c>
      <c r="H1113" s="42"/>
      <c r="I1113" s="42"/>
      <c r="J1113" s="42" t="s">
        <v>231</v>
      </c>
      <c r="K1113" s="42" t="s">
        <v>230</v>
      </c>
      <c r="L1113" s="81" t="s">
        <v>229</v>
      </c>
      <c r="M1113" s="82" t="str">
        <f>LEFT(Table1[[#This Row],[Tegevusala kood]],2)</f>
        <v>08</v>
      </c>
      <c r="N1113" s="53" t="str">
        <f>VLOOKUP(Table1[[#This Row],[Tegevusala kood]],Table4[[Tegevusala kood]:[Tegevusala alanimetus]],2,FALSE)</f>
        <v>Viru-Jaagupi Raamatukogu</v>
      </c>
      <c r="O1113" s="42"/>
      <c r="P1113" s="42"/>
      <c r="Q1113" s="53" t="str">
        <f>VLOOKUP(Table1[[#This Row],[Eelarvekonto]],Table5[[Konto]:[Kontode alanimetus]],5,FALSE)</f>
        <v>Majandamiskulud</v>
      </c>
      <c r="R1113" s="53" t="str">
        <f>VLOOKUP(Table1[[#This Row],[Tegevusala kood]],Table4[[Tegevusala kood]:[Tegevusala alanimetus]],4,FALSE)</f>
        <v>Raamatukogud</v>
      </c>
      <c r="S1113" s="53"/>
      <c r="T1113" s="53"/>
      <c r="U1113" s="53">
        <f>Table1[[#This Row],[Summa]]+Table1[[#This Row],[I Muudatus]]+Table1[[#This Row],[II Muudatus]]</f>
        <v>900</v>
      </c>
    </row>
    <row r="1114" spans="1:21" ht="14.25" hidden="1" customHeight="1" x14ac:dyDescent="0.25">
      <c r="A1114" s="42" t="s">
        <v>141</v>
      </c>
      <c r="B1114" s="42">
        <v>100</v>
      </c>
      <c r="C1114" s="53">
        <v>5525</v>
      </c>
      <c r="D1114" s="53" t="str">
        <f>LEFT(Table1[[#This Row],[Eelarvekonto]],2)</f>
        <v>55</v>
      </c>
      <c r="E1114" s="42" t="str">
        <f>VLOOKUP(Table1[[#This Row],[Eelarvekonto]],Table5[[Konto]:[Konto nimetus]],2,FALSE)</f>
        <v>Kommunikatsiooni-, kultuuri- ja vaba aja sisustamise kulud</v>
      </c>
      <c r="F1114" s="42" t="s">
        <v>139</v>
      </c>
      <c r="G1114" s="42" t="s">
        <v>24</v>
      </c>
      <c r="H1114" s="42"/>
      <c r="I1114" s="42"/>
      <c r="J1114" s="42" t="s">
        <v>231</v>
      </c>
      <c r="K1114" s="42" t="s">
        <v>230</v>
      </c>
      <c r="L1114" s="81" t="s">
        <v>229</v>
      </c>
      <c r="M1114" s="82" t="str">
        <f>LEFT(Table1[[#This Row],[Tegevusala kood]],2)</f>
        <v>08</v>
      </c>
      <c r="N1114" s="53" t="str">
        <f>VLOOKUP(Table1[[#This Row],[Tegevusala kood]],Table4[[Tegevusala kood]:[Tegevusala alanimetus]],2,FALSE)</f>
        <v>Viru-Jaagupi Raamatukogu</v>
      </c>
      <c r="O1114" s="42"/>
      <c r="P1114" s="42"/>
      <c r="Q1114" s="53" t="str">
        <f>VLOOKUP(Table1[[#This Row],[Eelarvekonto]],Table5[[Konto]:[Kontode alanimetus]],5,FALSE)</f>
        <v>Majandamiskulud</v>
      </c>
      <c r="R1114" s="53" t="str">
        <f>VLOOKUP(Table1[[#This Row],[Tegevusala kood]],Table4[[Tegevusala kood]:[Tegevusala alanimetus]],4,FALSE)</f>
        <v>Raamatukogud</v>
      </c>
      <c r="S1114" s="53"/>
      <c r="T1114" s="53"/>
      <c r="U1114" s="53">
        <f>Table1[[#This Row],[Summa]]+Table1[[#This Row],[I Muudatus]]+Table1[[#This Row],[II Muudatus]]</f>
        <v>100</v>
      </c>
    </row>
    <row r="1115" spans="1:21" ht="14.25" hidden="1" customHeight="1" x14ac:dyDescent="0.25">
      <c r="A1115" s="42" t="s">
        <v>232</v>
      </c>
      <c r="B1115" s="42">
        <v>1900</v>
      </c>
      <c r="C1115" s="53">
        <v>5523</v>
      </c>
      <c r="D1115" s="53" t="str">
        <f>LEFT(Table1[[#This Row],[Eelarvekonto]],2)</f>
        <v>55</v>
      </c>
      <c r="E1115" s="42" t="str">
        <f>VLOOKUP(Table1[[#This Row],[Eelarvekonto]],Table5[[Konto]:[Konto nimetus]],2,FALSE)</f>
        <v>Teavikute ja kunstiesemete kulud</v>
      </c>
      <c r="F1115" s="42" t="s">
        <v>139</v>
      </c>
      <c r="G1115" s="42" t="s">
        <v>24</v>
      </c>
      <c r="H1115" s="42"/>
      <c r="I1115" s="42"/>
      <c r="J1115" s="42" t="s">
        <v>231</v>
      </c>
      <c r="K1115" s="42" t="s">
        <v>230</v>
      </c>
      <c r="L1115" s="81" t="s">
        <v>229</v>
      </c>
      <c r="M1115" s="82" t="str">
        <f>LEFT(Table1[[#This Row],[Tegevusala kood]],2)</f>
        <v>08</v>
      </c>
      <c r="N1115" s="53" t="str">
        <f>VLOOKUP(Table1[[#This Row],[Tegevusala kood]],Table4[[Tegevusala kood]:[Tegevusala alanimetus]],2,FALSE)</f>
        <v>Viru-Jaagupi Raamatukogu</v>
      </c>
      <c r="O1115" s="42"/>
      <c r="P1115" s="42"/>
      <c r="Q1115" s="53" t="str">
        <f>VLOOKUP(Table1[[#This Row],[Eelarvekonto]],Table5[[Konto]:[Kontode alanimetus]],5,FALSE)</f>
        <v>Majandamiskulud</v>
      </c>
      <c r="R1115" s="53" t="str">
        <f>VLOOKUP(Table1[[#This Row],[Tegevusala kood]],Table4[[Tegevusala kood]:[Tegevusala alanimetus]],4,FALSE)</f>
        <v>Raamatukogud</v>
      </c>
      <c r="S1115" s="53"/>
      <c r="T1115" s="53"/>
      <c r="U1115" s="53">
        <f>Table1[[#This Row],[Summa]]+Table1[[#This Row],[I Muudatus]]+Table1[[#This Row],[II Muudatus]]</f>
        <v>1900</v>
      </c>
    </row>
    <row r="1116" spans="1:21" ht="14.25" hidden="1" customHeight="1" x14ac:dyDescent="0.25">
      <c r="A1116" s="42" t="s">
        <v>1290</v>
      </c>
      <c r="B1116" s="42"/>
      <c r="C1116" s="53">
        <v>551300</v>
      </c>
      <c r="D1116" s="53" t="str">
        <f>LEFT(Table1[[#This Row],[Eelarvekonto]],2)</f>
        <v>55</v>
      </c>
      <c r="E1116" s="42" t="str">
        <f>VLOOKUP(Table1[[#This Row],[Eelarvekonto]],Table5[[Konto]:[Konto nimetus]],2,FALSE)</f>
        <v>Kütus</v>
      </c>
      <c r="F1116" s="42" t="s">
        <v>139</v>
      </c>
      <c r="G1116" s="42" t="s">
        <v>24</v>
      </c>
      <c r="H1116" s="42"/>
      <c r="I1116" s="42"/>
      <c r="J1116" s="42" t="s">
        <v>433</v>
      </c>
      <c r="K1116" s="42" t="s">
        <v>432</v>
      </c>
      <c r="L1116" s="81" t="s">
        <v>431</v>
      </c>
      <c r="M1116" s="82" t="str">
        <f>LEFT(Table1[[#This Row],[Tegevusala kood]],2)</f>
        <v>08</v>
      </c>
      <c r="N1116" s="53" t="str">
        <f>VLOOKUP(Table1[[#This Row],[Tegevusala kood]],Table4[[Tegevusala kood]:[Tegevusala alanimetus]],2,FALSE)</f>
        <v>Sporditegevuse haldus</v>
      </c>
      <c r="O1116" s="42"/>
      <c r="P1116" s="42"/>
      <c r="Q1116" s="53" t="str">
        <f>VLOOKUP(Table1[[#This Row],[Eelarvekonto]],Table5[[Konto]:[Kontode alanimetus]],5,FALSE)</f>
        <v>Majandamiskulud</v>
      </c>
      <c r="R1116" s="53" t="str">
        <f>VLOOKUP(Table1[[#This Row],[Tegevusala kood]],Table4[[Tegevusala kood]:[Tegevusala alanimetus]],4,FALSE)</f>
        <v>Sport</v>
      </c>
      <c r="S1116" s="53"/>
      <c r="T1116" s="53"/>
      <c r="U1116" s="53">
        <f>Table1[[#This Row],[Summa]]+Table1[[#This Row],[I Muudatus]]+Table1[[#This Row],[II Muudatus]]</f>
        <v>0</v>
      </c>
    </row>
    <row r="1117" spans="1:21" ht="14.25" hidden="1" customHeight="1" x14ac:dyDescent="0.25">
      <c r="A1117" s="42" t="s">
        <v>1291</v>
      </c>
      <c r="B1117" s="42"/>
      <c r="C1117" s="53">
        <v>5511</v>
      </c>
      <c r="D1117" s="53" t="str">
        <f>LEFT(Table1[[#This Row],[Eelarvekonto]],2)</f>
        <v>55</v>
      </c>
      <c r="E1117" s="42" t="str">
        <f>VLOOKUP(Table1[[#This Row],[Eelarvekonto]],Table5[[Konto]:[Konto nimetus]],2,FALSE)</f>
        <v>Kinnistute, hoonete ja ruumide majandamiskulud</v>
      </c>
      <c r="F1117" s="42" t="s">
        <v>139</v>
      </c>
      <c r="G1117" s="42" t="s">
        <v>24</v>
      </c>
      <c r="H1117" s="42"/>
      <c r="I1117" s="42"/>
      <c r="J1117" s="42" t="s">
        <v>433</v>
      </c>
      <c r="K1117" s="42" t="s">
        <v>432</v>
      </c>
      <c r="L1117" s="81" t="s">
        <v>431</v>
      </c>
      <c r="M1117" s="82" t="str">
        <f>LEFT(Table1[[#This Row],[Tegevusala kood]],2)</f>
        <v>08</v>
      </c>
      <c r="N1117" s="53" t="str">
        <f>VLOOKUP(Table1[[#This Row],[Tegevusala kood]],Table4[[Tegevusala kood]:[Tegevusala alanimetus]],2,FALSE)</f>
        <v>Sporditegevuse haldus</v>
      </c>
      <c r="O1117" s="42"/>
      <c r="P1117" s="42"/>
      <c r="Q1117" s="53" t="str">
        <f>VLOOKUP(Table1[[#This Row],[Eelarvekonto]],Table5[[Konto]:[Kontode alanimetus]],5,FALSE)</f>
        <v>Majandamiskulud</v>
      </c>
      <c r="R1117" s="53" t="str">
        <f>VLOOKUP(Table1[[#This Row],[Tegevusala kood]],Table4[[Tegevusala kood]:[Tegevusala alanimetus]],4,FALSE)</f>
        <v>Sport</v>
      </c>
      <c r="S1117" s="53"/>
      <c r="T1117" s="53"/>
      <c r="U1117" s="53">
        <f>Table1[[#This Row],[Summa]]+Table1[[#This Row],[I Muudatus]]+Table1[[#This Row],[II Muudatus]]</f>
        <v>0</v>
      </c>
    </row>
    <row r="1118" spans="1:21" ht="14.25" hidden="1" customHeight="1" x14ac:dyDescent="0.25">
      <c r="A1118" s="42" t="s">
        <v>140</v>
      </c>
      <c r="B1118" s="42"/>
      <c r="C1118" s="53">
        <v>5504</v>
      </c>
      <c r="D1118" s="53" t="str">
        <f>LEFT(Table1[[#This Row],[Eelarvekonto]],2)</f>
        <v>55</v>
      </c>
      <c r="E1118" s="42" t="str">
        <f>VLOOKUP(Table1[[#This Row],[Eelarvekonto]],Table5[[Konto]:[Konto nimetus]],2,FALSE)</f>
        <v>Koolituskulud (sh koolituslähetus)</v>
      </c>
      <c r="F1118" s="42" t="s">
        <v>139</v>
      </c>
      <c r="G1118" s="42" t="s">
        <v>24</v>
      </c>
      <c r="H1118" s="42"/>
      <c r="I1118" s="42"/>
      <c r="J1118" s="42" t="s">
        <v>433</v>
      </c>
      <c r="K1118" s="42" t="s">
        <v>432</v>
      </c>
      <c r="L1118" s="81" t="s">
        <v>431</v>
      </c>
      <c r="M1118" s="82" t="str">
        <f>LEFT(Table1[[#This Row],[Tegevusala kood]],2)</f>
        <v>08</v>
      </c>
      <c r="N1118" s="53" t="str">
        <f>VLOOKUP(Table1[[#This Row],[Tegevusala kood]],Table4[[Tegevusala kood]:[Tegevusala alanimetus]],2,FALSE)</f>
        <v>Sporditegevuse haldus</v>
      </c>
      <c r="O1118" s="42"/>
      <c r="P1118" s="42"/>
      <c r="Q1118" s="53" t="str">
        <f>VLOOKUP(Table1[[#This Row],[Eelarvekonto]],Table5[[Konto]:[Kontode alanimetus]],5,FALSE)</f>
        <v>Majandamiskulud</v>
      </c>
      <c r="R1118" s="53" t="str">
        <f>VLOOKUP(Table1[[#This Row],[Tegevusala kood]],Table4[[Tegevusala kood]:[Tegevusala alanimetus]],4,FALSE)</f>
        <v>Sport</v>
      </c>
      <c r="S1118" s="53"/>
      <c r="T1118" s="53"/>
      <c r="U1118" s="53">
        <f>Table1[[#This Row],[Summa]]+Table1[[#This Row],[I Muudatus]]+Table1[[#This Row],[II Muudatus]]</f>
        <v>0</v>
      </c>
    </row>
    <row r="1119" spans="1:21" ht="14.25" hidden="1" customHeight="1" x14ac:dyDescent="0.25">
      <c r="A1119" s="42" t="s">
        <v>373</v>
      </c>
      <c r="B1119" s="42">
        <v>700</v>
      </c>
      <c r="C1119" s="53">
        <v>4138</v>
      </c>
      <c r="D1119" s="53" t="str">
        <f>LEFT(Table1[[#This Row],[Eelarvekonto]],2)</f>
        <v>41</v>
      </c>
      <c r="E1119" s="42" t="str">
        <f>VLOOKUP(Table1[[#This Row],[Eelarvekonto]],Table5[[Konto]:[Konto nimetus]],2,FALSE)</f>
        <v>Muud sotsiaalabitoetused</v>
      </c>
      <c r="F1119" s="42" t="s">
        <v>139</v>
      </c>
      <c r="G1119" s="42" t="s">
        <v>24</v>
      </c>
      <c r="H1119" s="42"/>
      <c r="I1119" s="42"/>
      <c r="J1119" s="42" t="s">
        <v>365</v>
      </c>
      <c r="K1119" s="42" t="s">
        <v>364</v>
      </c>
      <c r="L1119" s="81" t="s">
        <v>372</v>
      </c>
      <c r="M1119" s="82" t="str">
        <f>LEFT(Table1[[#This Row],[Tegevusala kood]],2)</f>
        <v>10</v>
      </c>
      <c r="N1119" s="53" t="str">
        <f>VLOOKUP(Table1[[#This Row],[Tegevusala kood]],Table4[[Tegevusala kood]:[Tegevusala alanimetus]],2,FALSE)</f>
        <v>Riskirühmade sotsiaalhoolekandeasutused</v>
      </c>
      <c r="O1119" s="42"/>
      <c r="P1119" s="42"/>
      <c r="Q1119" s="53" t="str">
        <f>VLOOKUP(Table1[[#This Row],[Eelarvekonto]],Table5[[Konto]:[Kontode alanimetus]],5,FALSE)</f>
        <v>Sotsiaalabitoetused ja muud toetused füüsilistele isikutele</v>
      </c>
      <c r="R1119" s="53" t="str">
        <f>VLOOKUP(Table1[[#This Row],[Tegevusala kood]],Table4[[Tegevusala kood]:[Tegevusala alanimetus]],4,FALSE)</f>
        <v>Riskirühmade sotsiaalhoolekandeasutused</v>
      </c>
      <c r="S1119" s="53"/>
      <c r="T1119" s="53"/>
      <c r="U1119" s="53">
        <f>Table1[[#This Row],[Summa]]+Table1[[#This Row],[I Muudatus]]+Table1[[#This Row],[II Muudatus]]</f>
        <v>700</v>
      </c>
    </row>
    <row r="1120" spans="1:21" ht="14.25" hidden="1" customHeight="1" x14ac:dyDescent="0.25">
      <c r="A1120" s="42" t="s">
        <v>331</v>
      </c>
      <c r="B1120" s="42">
        <v>500</v>
      </c>
      <c r="C1120" s="53">
        <v>5511</v>
      </c>
      <c r="D1120" s="53" t="str">
        <f>LEFT(Table1[[#This Row],[Eelarvekonto]],2)</f>
        <v>55</v>
      </c>
      <c r="E1120" s="42" t="str">
        <f>VLOOKUP(Table1[[#This Row],[Eelarvekonto]],Table5[[Konto]:[Konto nimetus]],2,FALSE)</f>
        <v>Kinnistute, hoonete ja ruumide majandamiskulud</v>
      </c>
      <c r="F1120" s="42" t="s">
        <v>139</v>
      </c>
      <c r="G1120" s="42" t="s">
        <v>24</v>
      </c>
      <c r="H1120" s="42"/>
      <c r="I1120" s="42"/>
      <c r="J1120" s="42" t="s">
        <v>320</v>
      </c>
      <c r="K1120" s="42" t="s">
        <v>80</v>
      </c>
      <c r="L1120" s="81" t="s">
        <v>329</v>
      </c>
      <c r="M1120" s="82" t="str">
        <f>LEFT(Table1[[#This Row],[Tegevusala kood]],2)</f>
        <v>06</v>
      </c>
      <c r="N1120" s="53" t="str">
        <f>VLOOKUP(Table1[[#This Row],[Tegevusala kood]],Table4[[Tegevusala kood]:[Tegevusala alanimetus]],2,FALSE)</f>
        <v>Kalmistud</v>
      </c>
      <c r="O1120" s="42"/>
      <c r="P1120" s="42"/>
      <c r="Q1120" s="53" t="str">
        <f>VLOOKUP(Table1[[#This Row],[Eelarvekonto]],Table5[[Konto]:[Kontode alanimetus]],5,FALSE)</f>
        <v>Majandamiskulud</v>
      </c>
      <c r="R1120" s="53" t="str">
        <f>VLOOKUP(Table1[[#This Row],[Tegevusala kood]],Table4[[Tegevusala kood]:[Tegevusala alanimetus]],4,FALSE)</f>
        <v>Muu elamu- ja kommunaalmajanduse tegevus</v>
      </c>
      <c r="S1120" s="53"/>
      <c r="T1120" s="53"/>
      <c r="U1120" s="53">
        <f>Table1[[#This Row],[Summa]]+Table1[[#This Row],[I Muudatus]]+Table1[[#This Row],[II Muudatus]]</f>
        <v>500</v>
      </c>
    </row>
    <row r="1121" spans="1:21" ht="14.25" hidden="1" customHeight="1" x14ac:dyDescent="0.25">
      <c r="A1121" s="42" t="s">
        <v>1292</v>
      </c>
      <c r="B1121" s="42">
        <v>6000</v>
      </c>
      <c r="C1121" s="53">
        <v>5511</v>
      </c>
      <c r="D1121" s="53" t="str">
        <f>LEFT(Table1[[#This Row],[Eelarvekonto]],2)</f>
        <v>55</v>
      </c>
      <c r="E1121" s="42" t="str">
        <f>VLOOKUP(Table1[[#This Row],[Eelarvekonto]],Table5[[Konto]:[Konto nimetus]],2,FALSE)</f>
        <v>Kinnistute, hoonete ja ruumide majandamiskulud</v>
      </c>
      <c r="F1121" s="42" t="s">
        <v>139</v>
      </c>
      <c r="G1121" s="42" t="s">
        <v>24</v>
      </c>
      <c r="H1121" s="42"/>
      <c r="I1121" s="42"/>
      <c r="J1121" s="42" t="s">
        <v>320</v>
      </c>
      <c r="K1121" s="42" t="s">
        <v>80</v>
      </c>
      <c r="L1121" s="81" t="s">
        <v>329</v>
      </c>
      <c r="M1121" s="82" t="str">
        <f>LEFT(Table1[[#This Row],[Tegevusala kood]],2)</f>
        <v>06</v>
      </c>
      <c r="N1121" s="53" t="str">
        <f>VLOOKUP(Table1[[#This Row],[Tegevusala kood]],Table4[[Tegevusala kood]:[Tegevusala alanimetus]],2,FALSE)</f>
        <v>Kalmistud</v>
      </c>
      <c r="O1121" s="42"/>
      <c r="P1121" s="42"/>
      <c r="Q1121" s="53" t="str">
        <f>VLOOKUP(Table1[[#This Row],[Eelarvekonto]],Table5[[Konto]:[Kontode alanimetus]],5,FALSE)</f>
        <v>Majandamiskulud</v>
      </c>
      <c r="R1121" s="53" t="str">
        <f>VLOOKUP(Table1[[#This Row],[Tegevusala kood]],Table4[[Tegevusala kood]:[Tegevusala alanimetus]],4,FALSE)</f>
        <v>Muu elamu- ja kommunaalmajanduse tegevus</v>
      </c>
      <c r="S1121" s="53"/>
      <c r="T1121" s="53"/>
      <c r="U1121" s="53">
        <f>Table1[[#This Row],[Summa]]+Table1[[#This Row],[I Muudatus]]+Table1[[#This Row],[II Muudatus]]</f>
        <v>6000</v>
      </c>
    </row>
    <row r="1122" spans="1:21" ht="14.25" hidden="1" customHeight="1" x14ac:dyDescent="0.25">
      <c r="A1122" s="42" t="s">
        <v>1293</v>
      </c>
      <c r="B1122" s="42">
        <v>150</v>
      </c>
      <c r="C1122" s="53">
        <v>5511</v>
      </c>
      <c r="D1122" s="53" t="str">
        <f>LEFT(Table1[[#This Row],[Eelarvekonto]],2)</f>
        <v>55</v>
      </c>
      <c r="E1122" s="42" t="str">
        <f>VLOOKUP(Table1[[#This Row],[Eelarvekonto]],Table5[[Konto]:[Konto nimetus]],2,FALSE)</f>
        <v>Kinnistute, hoonete ja ruumide majandamiskulud</v>
      </c>
      <c r="F1122" s="42" t="s">
        <v>139</v>
      </c>
      <c r="G1122" s="42" t="s">
        <v>24</v>
      </c>
      <c r="H1122" s="42"/>
      <c r="I1122" s="42"/>
      <c r="J1122" s="42" t="s">
        <v>320</v>
      </c>
      <c r="K1122" s="42" t="s">
        <v>80</v>
      </c>
      <c r="L1122" s="81" t="s">
        <v>329</v>
      </c>
      <c r="M1122" s="82" t="str">
        <f>LEFT(Table1[[#This Row],[Tegevusala kood]],2)</f>
        <v>06</v>
      </c>
      <c r="N1122" s="53" t="str">
        <f>VLOOKUP(Table1[[#This Row],[Tegevusala kood]],Table4[[Tegevusala kood]:[Tegevusala alanimetus]],2,FALSE)</f>
        <v>Kalmistud</v>
      </c>
      <c r="O1122" s="42"/>
      <c r="P1122" s="42"/>
      <c r="Q1122" s="53" t="str">
        <f>VLOOKUP(Table1[[#This Row],[Eelarvekonto]],Table5[[Konto]:[Kontode alanimetus]],5,FALSE)</f>
        <v>Majandamiskulud</v>
      </c>
      <c r="R1122" s="53" t="str">
        <f>VLOOKUP(Table1[[#This Row],[Tegevusala kood]],Table4[[Tegevusala kood]:[Tegevusala alanimetus]],4,FALSE)</f>
        <v>Muu elamu- ja kommunaalmajanduse tegevus</v>
      </c>
      <c r="S1122" s="53"/>
      <c r="T1122" s="53"/>
      <c r="U1122" s="53">
        <f>Table1[[#This Row],[Summa]]+Table1[[#This Row],[I Muudatus]]+Table1[[#This Row],[II Muudatus]]</f>
        <v>150</v>
      </c>
    </row>
    <row r="1123" spans="1:21" ht="14.25" hidden="1" customHeight="1" x14ac:dyDescent="0.25">
      <c r="A1123" s="42" t="s">
        <v>197</v>
      </c>
      <c r="B1123" s="42">
        <v>150</v>
      </c>
      <c r="C1123" s="53">
        <v>5513081</v>
      </c>
      <c r="D1123" s="53" t="str">
        <f>LEFT(Table1[[#This Row],[Eelarvekonto]],2)</f>
        <v>55</v>
      </c>
      <c r="E1123" s="42" t="str">
        <f>VLOOKUP(Table1[[#This Row],[Eelarvekonto]],Table5[[Konto]:[Konto nimetus]],2,FALSE)</f>
        <v>Isikliku sõiduauto kompensatsioon</v>
      </c>
      <c r="F1123" s="42" t="s">
        <v>139</v>
      </c>
      <c r="G1123" s="42" t="s">
        <v>24</v>
      </c>
      <c r="H1123" s="42"/>
      <c r="I1123" s="42"/>
      <c r="J1123" s="42" t="s">
        <v>247</v>
      </c>
      <c r="K1123" s="42" t="s">
        <v>95</v>
      </c>
      <c r="L1123" s="81" t="s">
        <v>246</v>
      </c>
      <c r="M1123" s="82" t="str">
        <f>LEFT(Table1[[#This Row],[Tegevusala kood]],2)</f>
        <v>08</v>
      </c>
      <c r="N1123" s="53" t="str">
        <f>VLOOKUP(Table1[[#This Row],[Tegevusala kood]],Table4[[Tegevusala kood]:[Tegevusala alanimetus]],2,FALSE)</f>
        <v>Laekvere Raamatukogu</v>
      </c>
      <c r="O1123" s="42"/>
      <c r="P1123" s="42"/>
      <c r="Q1123" s="53" t="str">
        <f>VLOOKUP(Table1[[#This Row],[Eelarvekonto]],Table5[[Konto]:[Kontode alanimetus]],5,FALSE)</f>
        <v>Majandamiskulud</v>
      </c>
      <c r="R1123" s="53" t="str">
        <f>VLOOKUP(Table1[[#This Row],[Tegevusala kood]],Table4[[Tegevusala kood]:[Tegevusala alanimetus]],4,FALSE)</f>
        <v>Raamatukogud</v>
      </c>
      <c r="S1123" s="53"/>
      <c r="T1123" s="53"/>
      <c r="U1123" s="53">
        <f>Table1[[#This Row],[Summa]]+Table1[[#This Row],[I Muudatus]]+Table1[[#This Row],[II Muudatus]]</f>
        <v>150</v>
      </c>
    </row>
    <row r="1124" spans="1:21" ht="14.25" hidden="1" customHeight="1" x14ac:dyDescent="0.25">
      <c r="A1124" s="42" t="s">
        <v>141</v>
      </c>
      <c r="B1124" s="42">
        <v>1500</v>
      </c>
      <c r="C1124" s="53">
        <v>5525</v>
      </c>
      <c r="D1124" s="53" t="str">
        <f>LEFT(Table1[[#This Row],[Eelarvekonto]],2)</f>
        <v>55</v>
      </c>
      <c r="E1124" s="42" t="str">
        <f>VLOOKUP(Table1[[#This Row],[Eelarvekonto]],Table5[[Konto]:[Konto nimetus]],2,FALSE)</f>
        <v>Kommunikatsiooni-, kultuuri- ja vaba aja sisustamise kulud</v>
      </c>
      <c r="F1124" s="42" t="s">
        <v>139</v>
      </c>
      <c r="G1124" s="42" t="s">
        <v>24</v>
      </c>
      <c r="H1124" s="42"/>
      <c r="I1124" s="42"/>
      <c r="J1124" s="42" t="s">
        <v>247</v>
      </c>
      <c r="K1124" s="42" t="s">
        <v>95</v>
      </c>
      <c r="L1124" s="81" t="s">
        <v>246</v>
      </c>
      <c r="M1124" s="82" t="str">
        <f>LEFT(Table1[[#This Row],[Tegevusala kood]],2)</f>
        <v>08</v>
      </c>
      <c r="N1124" s="53" t="str">
        <f>VLOOKUP(Table1[[#This Row],[Tegevusala kood]],Table4[[Tegevusala kood]:[Tegevusala alanimetus]],2,FALSE)</f>
        <v>Laekvere Raamatukogu</v>
      </c>
      <c r="O1124" s="42"/>
      <c r="P1124" s="42"/>
      <c r="Q1124" s="53" t="str">
        <f>VLOOKUP(Table1[[#This Row],[Eelarvekonto]],Table5[[Konto]:[Kontode alanimetus]],5,FALSE)</f>
        <v>Majandamiskulud</v>
      </c>
      <c r="R1124" s="53" t="str">
        <f>VLOOKUP(Table1[[#This Row],[Tegevusala kood]],Table4[[Tegevusala kood]:[Tegevusala alanimetus]],4,FALSE)</f>
        <v>Raamatukogud</v>
      </c>
      <c r="S1124" s="53"/>
      <c r="T1124" s="53"/>
      <c r="U1124" s="53">
        <f>Table1[[#This Row],[Summa]]+Table1[[#This Row],[I Muudatus]]+Table1[[#This Row],[II Muudatus]]</f>
        <v>1500</v>
      </c>
    </row>
    <row r="1125" spans="1:21" ht="14.25" hidden="1" customHeight="1" x14ac:dyDescent="0.25">
      <c r="A1125" s="42" t="s">
        <v>232</v>
      </c>
      <c r="B1125" s="42">
        <v>13500</v>
      </c>
      <c r="C1125" s="53">
        <v>5523</v>
      </c>
      <c r="D1125" s="53" t="str">
        <f>LEFT(Table1[[#This Row],[Eelarvekonto]],2)</f>
        <v>55</v>
      </c>
      <c r="E1125" s="42" t="str">
        <f>VLOOKUP(Table1[[#This Row],[Eelarvekonto]],Table5[[Konto]:[Konto nimetus]],2,FALSE)</f>
        <v>Teavikute ja kunstiesemete kulud</v>
      </c>
      <c r="F1125" s="42" t="s">
        <v>139</v>
      </c>
      <c r="G1125" s="42" t="s">
        <v>24</v>
      </c>
      <c r="H1125" s="42"/>
      <c r="I1125" s="42"/>
      <c r="J1125" s="42" t="s">
        <v>247</v>
      </c>
      <c r="K1125" s="42" t="s">
        <v>95</v>
      </c>
      <c r="L1125" s="81" t="s">
        <v>246</v>
      </c>
      <c r="M1125" s="82" t="str">
        <f>LEFT(Table1[[#This Row],[Tegevusala kood]],2)</f>
        <v>08</v>
      </c>
      <c r="N1125" s="53" t="str">
        <f>VLOOKUP(Table1[[#This Row],[Tegevusala kood]],Table4[[Tegevusala kood]:[Tegevusala alanimetus]],2,FALSE)</f>
        <v>Laekvere Raamatukogu</v>
      </c>
      <c r="O1125" s="42"/>
      <c r="P1125" s="42"/>
      <c r="Q1125" s="53" t="str">
        <f>VLOOKUP(Table1[[#This Row],[Eelarvekonto]],Table5[[Konto]:[Kontode alanimetus]],5,FALSE)</f>
        <v>Majandamiskulud</v>
      </c>
      <c r="R1125" s="53" t="str">
        <f>VLOOKUP(Table1[[#This Row],[Tegevusala kood]],Table4[[Tegevusala kood]:[Tegevusala alanimetus]],4,FALSE)</f>
        <v>Raamatukogud</v>
      </c>
      <c r="S1125" s="53"/>
      <c r="T1125" s="53"/>
      <c r="U1125" s="53">
        <f>Table1[[#This Row],[Summa]]+Table1[[#This Row],[I Muudatus]]+Table1[[#This Row],[II Muudatus]]</f>
        <v>13500</v>
      </c>
    </row>
    <row r="1126" spans="1:21" ht="14.25" hidden="1" customHeight="1" x14ac:dyDescent="0.25">
      <c r="A1126" s="42" t="s">
        <v>151</v>
      </c>
      <c r="B1126" s="42">
        <v>300</v>
      </c>
      <c r="C1126" s="53">
        <v>5522</v>
      </c>
      <c r="D1126" s="53" t="str">
        <f>LEFT(Table1[[#This Row],[Eelarvekonto]],2)</f>
        <v>55</v>
      </c>
      <c r="E1126" s="42" t="str">
        <f>VLOOKUP(Table1[[#This Row],[Eelarvekonto]],Table5[[Konto]:[Konto nimetus]],2,FALSE)</f>
        <v>Meditsiinikulud ja hügieenikulud</v>
      </c>
      <c r="F1126" s="42" t="s">
        <v>139</v>
      </c>
      <c r="G1126" s="42" t="s">
        <v>24</v>
      </c>
      <c r="H1126" s="42"/>
      <c r="I1126" s="42"/>
      <c r="J1126" s="42" t="s">
        <v>247</v>
      </c>
      <c r="K1126" s="42" t="s">
        <v>95</v>
      </c>
      <c r="L1126" s="81" t="s">
        <v>246</v>
      </c>
      <c r="M1126" s="82" t="str">
        <f>LEFT(Table1[[#This Row],[Tegevusala kood]],2)</f>
        <v>08</v>
      </c>
      <c r="N1126" s="53" t="str">
        <f>VLOOKUP(Table1[[#This Row],[Tegevusala kood]],Table4[[Tegevusala kood]:[Tegevusala alanimetus]],2,FALSE)</f>
        <v>Laekvere Raamatukogu</v>
      </c>
      <c r="O1126" s="42"/>
      <c r="P1126" s="42"/>
      <c r="Q1126" s="53" t="str">
        <f>VLOOKUP(Table1[[#This Row],[Eelarvekonto]],Table5[[Konto]:[Kontode alanimetus]],5,FALSE)</f>
        <v>Majandamiskulud</v>
      </c>
      <c r="R1126" s="53" t="str">
        <f>VLOOKUP(Table1[[#This Row],[Tegevusala kood]],Table4[[Tegevusala kood]:[Tegevusala alanimetus]],4,FALSE)</f>
        <v>Raamatukogud</v>
      </c>
      <c r="S1126" s="53"/>
      <c r="T1126" s="53"/>
      <c r="U1126" s="53">
        <f>Table1[[#This Row],[Summa]]+Table1[[#This Row],[I Muudatus]]+Table1[[#This Row],[II Muudatus]]</f>
        <v>300</v>
      </c>
    </row>
    <row r="1127" spans="1:21" ht="14.25" hidden="1" customHeight="1" x14ac:dyDescent="0.25">
      <c r="A1127" s="42" t="s">
        <v>161</v>
      </c>
      <c r="B1127" s="42">
        <v>173.71</v>
      </c>
      <c r="C1127" s="53">
        <v>5515</v>
      </c>
      <c r="D1127" s="53" t="str">
        <f>LEFT(Table1[[#This Row],[Eelarvekonto]],2)</f>
        <v>55</v>
      </c>
      <c r="E1127" s="42" t="str">
        <f>VLOOKUP(Table1[[#This Row],[Eelarvekonto]],Table5[[Konto]:[Konto nimetus]],2,FALSE)</f>
        <v>Inventari majandamiskulud</v>
      </c>
      <c r="F1127" s="42" t="s">
        <v>139</v>
      </c>
      <c r="G1127" s="42" t="s">
        <v>24</v>
      </c>
      <c r="H1127" s="42"/>
      <c r="I1127" s="42"/>
      <c r="J1127" s="42" t="s">
        <v>247</v>
      </c>
      <c r="K1127" s="42" t="s">
        <v>95</v>
      </c>
      <c r="L1127" s="81" t="s">
        <v>246</v>
      </c>
      <c r="M1127" s="82" t="str">
        <f>LEFT(Table1[[#This Row],[Tegevusala kood]],2)</f>
        <v>08</v>
      </c>
      <c r="N1127" s="53" t="str">
        <f>VLOOKUP(Table1[[#This Row],[Tegevusala kood]],Table4[[Tegevusala kood]:[Tegevusala alanimetus]],2,FALSE)</f>
        <v>Laekvere Raamatukogu</v>
      </c>
      <c r="O1127" s="42"/>
      <c r="P1127" s="42"/>
      <c r="Q1127" s="53" t="str">
        <f>VLOOKUP(Table1[[#This Row],[Eelarvekonto]],Table5[[Konto]:[Kontode alanimetus]],5,FALSE)</f>
        <v>Majandamiskulud</v>
      </c>
      <c r="R1127" s="53" t="str">
        <f>VLOOKUP(Table1[[#This Row],[Tegevusala kood]],Table4[[Tegevusala kood]:[Tegevusala alanimetus]],4,FALSE)</f>
        <v>Raamatukogud</v>
      </c>
      <c r="S1127" s="53"/>
      <c r="T1127" s="53"/>
      <c r="U1127" s="53">
        <f>Table1[[#This Row],[Summa]]+Table1[[#This Row],[I Muudatus]]+Table1[[#This Row],[II Muudatus]]</f>
        <v>173.71</v>
      </c>
    </row>
    <row r="1128" spans="1:21" ht="14.25" hidden="1" customHeight="1" x14ac:dyDescent="0.25">
      <c r="A1128" s="42" t="s">
        <v>142</v>
      </c>
      <c r="B1128" s="42">
        <v>800</v>
      </c>
      <c r="C1128" s="53">
        <v>5511</v>
      </c>
      <c r="D1128" s="53" t="str">
        <f>LEFT(Table1[[#This Row],[Eelarvekonto]],2)</f>
        <v>55</v>
      </c>
      <c r="E1128" s="42" t="str">
        <f>VLOOKUP(Table1[[#This Row],[Eelarvekonto]],Table5[[Konto]:[Konto nimetus]],2,FALSE)</f>
        <v>Kinnistute, hoonete ja ruumide majandamiskulud</v>
      </c>
      <c r="F1128" s="42" t="s">
        <v>139</v>
      </c>
      <c r="G1128" s="42" t="s">
        <v>24</v>
      </c>
      <c r="H1128" s="42"/>
      <c r="I1128" s="42"/>
      <c r="J1128" s="42" t="s">
        <v>247</v>
      </c>
      <c r="K1128" s="42" t="s">
        <v>95</v>
      </c>
      <c r="L1128" s="81" t="s">
        <v>246</v>
      </c>
      <c r="M1128" s="82" t="str">
        <f>LEFT(Table1[[#This Row],[Tegevusala kood]],2)</f>
        <v>08</v>
      </c>
      <c r="N1128" s="53" t="str">
        <f>VLOOKUP(Table1[[#This Row],[Tegevusala kood]],Table4[[Tegevusala kood]:[Tegevusala alanimetus]],2,FALSE)</f>
        <v>Laekvere Raamatukogu</v>
      </c>
      <c r="O1128" s="42"/>
      <c r="P1128" s="42"/>
      <c r="Q1128" s="53" t="str">
        <f>VLOOKUP(Table1[[#This Row],[Eelarvekonto]],Table5[[Konto]:[Kontode alanimetus]],5,FALSE)</f>
        <v>Majandamiskulud</v>
      </c>
      <c r="R1128" s="53" t="str">
        <f>VLOOKUP(Table1[[#This Row],[Tegevusala kood]],Table4[[Tegevusala kood]:[Tegevusala alanimetus]],4,FALSE)</f>
        <v>Raamatukogud</v>
      </c>
      <c r="S1128" s="53"/>
      <c r="T1128" s="53"/>
      <c r="U1128" s="53">
        <f>Table1[[#This Row],[Summa]]+Table1[[#This Row],[I Muudatus]]+Table1[[#This Row],[II Muudatus]]</f>
        <v>800</v>
      </c>
    </row>
    <row r="1129" spans="1:21" ht="14.25" hidden="1" customHeight="1" x14ac:dyDescent="0.25">
      <c r="A1129" s="42" t="s">
        <v>140</v>
      </c>
      <c r="B1129" s="42">
        <v>500</v>
      </c>
      <c r="C1129" s="53">
        <v>5504</v>
      </c>
      <c r="D1129" s="53" t="str">
        <f>LEFT(Table1[[#This Row],[Eelarvekonto]],2)</f>
        <v>55</v>
      </c>
      <c r="E1129" s="42" t="str">
        <f>VLOOKUP(Table1[[#This Row],[Eelarvekonto]],Table5[[Konto]:[Konto nimetus]],2,FALSE)</f>
        <v>Koolituskulud (sh koolituslähetus)</v>
      </c>
      <c r="F1129" s="42" t="s">
        <v>139</v>
      </c>
      <c r="G1129" s="42" t="s">
        <v>24</v>
      </c>
      <c r="H1129" s="42"/>
      <c r="I1129" s="42"/>
      <c r="J1129" s="42" t="s">
        <v>247</v>
      </c>
      <c r="K1129" s="42" t="s">
        <v>95</v>
      </c>
      <c r="L1129" s="81" t="s">
        <v>246</v>
      </c>
      <c r="M1129" s="82" t="str">
        <f>LEFT(Table1[[#This Row],[Tegevusala kood]],2)</f>
        <v>08</v>
      </c>
      <c r="N1129" s="53" t="str">
        <f>VLOOKUP(Table1[[#This Row],[Tegevusala kood]],Table4[[Tegevusala kood]:[Tegevusala alanimetus]],2,FALSE)</f>
        <v>Laekvere Raamatukogu</v>
      </c>
      <c r="O1129" s="42"/>
      <c r="P1129" s="42"/>
      <c r="Q1129" s="53" t="str">
        <f>VLOOKUP(Table1[[#This Row],[Eelarvekonto]],Table5[[Konto]:[Kontode alanimetus]],5,FALSE)</f>
        <v>Majandamiskulud</v>
      </c>
      <c r="R1129" s="53" t="str">
        <f>VLOOKUP(Table1[[#This Row],[Tegevusala kood]],Table4[[Tegevusala kood]:[Tegevusala alanimetus]],4,FALSE)</f>
        <v>Raamatukogud</v>
      </c>
      <c r="S1129" s="53"/>
      <c r="T1129" s="53"/>
      <c r="U1129" s="53">
        <f>Table1[[#This Row],[Summa]]+Table1[[#This Row],[I Muudatus]]+Table1[[#This Row],[II Muudatus]]</f>
        <v>500</v>
      </c>
    </row>
    <row r="1130" spans="1:21" ht="14.25" hidden="1" customHeight="1" x14ac:dyDescent="0.25">
      <c r="A1130" s="42" t="s">
        <v>144</v>
      </c>
      <c r="B1130" s="42">
        <v>4500</v>
      </c>
      <c r="C1130" s="53">
        <v>5500</v>
      </c>
      <c r="D1130" s="53" t="str">
        <f>LEFT(Table1[[#This Row],[Eelarvekonto]],2)</f>
        <v>55</v>
      </c>
      <c r="E1130" s="42" t="str">
        <f>VLOOKUP(Table1[[#This Row],[Eelarvekonto]],Table5[[Konto]:[Konto nimetus]],2,FALSE)</f>
        <v>Administreerimiskulud</v>
      </c>
      <c r="F1130" s="42" t="s">
        <v>139</v>
      </c>
      <c r="G1130" s="42" t="s">
        <v>24</v>
      </c>
      <c r="H1130" s="42"/>
      <c r="I1130" s="42"/>
      <c r="J1130" s="42" t="s">
        <v>247</v>
      </c>
      <c r="K1130" s="42" t="s">
        <v>95</v>
      </c>
      <c r="L1130" s="81" t="s">
        <v>246</v>
      </c>
      <c r="M1130" s="82" t="str">
        <f>LEFT(Table1[[#This Row],[Tegevusala kood]],2)</f>
        <v>08</v>
      </c>
      <c r="N1130" s="53" t="str">
        <f>VLOOKUP(Table1[[#This Row],[Tegevusala kood]],Table4[[Tegevusala kood]:[Tegevusala alanimetus]],2,FALSE)</f>
        <v>Laekvere Raamatukogu</v>
      </c>
      <c r="O1130" s="42"/>
      <c r="P1130" s="42"/>
      <c r="Q1130" s="53" t="str">
        <f>VLOOKUP(Table1[[#This Row],[Eelarvekonto]],Table5[[Konto]:[Kontode alanimetus]],5,FALSE)</f>
        <v>Majandamiskulud</v>
      </c>
      <c r="R1130" s="53" t="str">
        <f>VLOOKUP(Table1[[#This Row],[Tegevusala kood]],Table4[[Tegevusala kood]:[Tegevusala alanimetus]],4,FALSE)</f>
        <v>Raamatukogud</v>
      </c>
      <c r="S1130" s="53"/>
      <c r="T1130" s="53"/>
      <c r="U1130" s="53">
        <f>Table1[[#This Row],[Summa]]+Table1[[#This Row],[I Muudatus]]+Table1[[#This Row],[II Muudatus]]</f>
        <v>4500</v>
      </c>
    </row>
    <row r="1131" spans="1:21" ht="14.25" hidden="1" customHeight="1" x14ac:dyDescent="0.25">
      <c r="A1131" s="42" t="s">
        <v>1163</v>
      </c>
      <c r="B1131" s="42">
        <v>50</v>
      </c>
      <c r="C1131" s="53">
        <v>5514</v>
      </c>
      <c r="D1131" s="53" t="str">
        <f>LEFT(Table1[[#This Row],[Eelarvekonto]],2)</f>
        <v>55</v>
      </c>
      <c r="E1131" s="42" t="str">
        <f>VLOOKUP(Table1[[#This Row],[Eelarvekonto]],Table5[[Konto]:[Konto nimetus]],2,FALSE)</f>
        <v>Info- ja kommunikatsioonitehnoloogia kulud</v>
      </c>
      <c r="F1131" s="42" t="s">
        <v>139</v>
      </c>
      <c r="G1131" s="42" t="s">
        <v>24</v>
      </c>
      <c r="H1131" s="42"/>
      <c r="I1131" s="42"/>
      <c r="J1131" s="42" t="s">
        <v>258</v>
      </c>
      <c r="K1131" s="42" t="s">
        <v>256</v>
      </c>
      <c r="L1131" s="81" t="s">
        <v>260</v>
      </c>
      <c r="M1131" s="82" t="str">
        <f>LEFT(Table1[[#This Row],[Tegevusala kood]],2)</f>
        <v>09</v>
      </c>
      <c r="N1131" s="53" t="str">
        <f>VLOOKUP(Table1[[#This Row],[Tegevusala kood]],Table4[[Tegevusala kood]:[Tegevusala alanimetus]],2,FALSE)</f>
        <v>Tudu Lasteaed</v>
      </c>
      <c r="O1131" s="42"/>
      <c r="P1131" s="42"/>
      <c r="Q1131" s="53" t="str">
        <f>VLOOKUP(Table1[[#This Row],[Eelarvekonto]],Table5[[Konto]:[Kontode alanimetus]],5,FALSE)</f>
        <v>Majandamiskulud</v>
      </c>
      <c r="R1131" s="53" t="str">
        <f>VLOOKUP(Table1[[#This Row],[Tegevusala kood]],Table4[[Tegevusala kood]:[Tegevusala alanimetus]],4,FALSE)</f>
        <v>Alusharidus</v>
      </c>
      <c r="S1131" s="53"/>
      <c r="T1131" s="53"/>
      <c r="U1131" s="53">
        <f>Table1[[#This Row],[Summa]]+Table1[[#This Row],[I Muudatus]]+Table1[[#This Row],[II Muudatus]]</f>
        <v>50</v>
      </c>
    </row>
    <row r="1132" spans="1:21" ht="14.25" hidden="1" customHeight="1" x14ac:dyDescent="0.25">
      <c r="A1132" s="42" t="s">
        <v>141</v>
      </c>
      <c r="B1132" s="42">
        <v>200</v>
      </c>
      <c r="C1132" s="53">
        <v>5525</v>
      </c>
      <c r="D1132" s="53" t="str">
        <f>LEFT(Table1[[#This Row],[Eelarvekonto]],2)</f>
        <v>55</v>
      </c>
      <c r="E1132" s="42" t="str">
        <f>VLOOKUP(Table1[[#This Row],[Eelarvekonto]],Table5[[Konto]:[Konto nimetus]],2,FALSE)</f>
        <v>Kommunikatsiooni-, kultuuri- ja vaba aja sisustamise kulud</v>
      </c>
      <c r="F1132" s="42" t="s">
        <v>139</v>
      </c>
      <c r="G1132" s="42" t="s">
        <v>24</v>
      </c>
      <c r="H1132" s="42"/>
      <c r="I1132" s="42"/>
      <c r="J1132" s="42" t="s">
        <v>258</v>
      </c>
      <c r="K1132" s="42" t="s">
        <v>256</v>
      </c>
      <c r="L1132" s="81" t="s">
        <v>260</v>
      </c>
      <c r="M1132" s="82" t="str">
        <f>LEFT(Table1[[#This Row],[Tegevusala kood]],2)</f>
        <v>09</v>
      </c>
      <c r="N1132" s="53" t="str">
        <f>VLOOKUP(Table1[[#This Row],[Tegevusala kood]],Table4[[Tegevusala kood]:[Tegevusala alanimetus]],2,FALSE)</f>
        <v>Tudu Lasteaed</v>
      </c>
      <c r="O1132" s="42"/>
      <c r="P1132" s="42"/>
      <c r="Q1132" s="53" t="str">
        <f>VLOOKUP(Table1[[#This Row],[Eelarvekonto]],Table5[[Konto]:[Kontode alanimetus]],5,FALSE)</f>
        <v>Majandamiskulud</v>
      </c>
      <c r="R1132" s="53" t="str">
        <f>VLOOKUP(Table1[[#This Row],[Tegevusala kood]],Table4[[Tegevusala kood]:[Tegevusala alanimetus]],4,FALSE)</f>
        <v>Alusharidus</v>
      </c>
      <c r="S1132" s="53"/>
      <c r="T1132" s="53"/>
      <c r="U1132" s="53">
        <f>Table1[[#This Row],[Summa]]+Table1[[#This Row],[I Muudatus]]+Table1[[#This Row],[II Muudatus]]</f>
        <v>200</v>
      </c>
    </row>
    <row r="1133" spans="1:21" ht="14.25" hidden="1" customHeight="1" x14ac:dyDescent="0.25">
      <c r="A1133" s="42" t="s">
        <v>255</v>
      </c>
      <c r="B1133" s="42">
        <v>600</v>
      </c>
      <c r="C1133" s="53">
        <v>5524</v>
      </c>
      <c r="D1133" s="53" t="str">
        <f>LEFT(Table1[[#This Row],[Eelarvekonto]],2)</f>
        <v>55</v>
      </c>
      <c r="E1133" s="42" t="str">
        <f>VLOOKUP(Table1[[#This Row],[Eelarvekonto]],Table5[[Konto]:[Konto nimetus]],2,FALSE)</f>
        <v>Õppevahendite ja koolituse kulud</v>
      </c>
      <c r="F1133" s="42" t="s">
        <v>139</v>
      </c>
      <c r="G1133" s="42" t="s">
        <v>24</v>
      </c>
      <c r="H1133" s="42"/>
      <c r="I1133" s="42"/>
      <c r="J1133" s="42" t="s">
        <v>258</v>
      </c>
      <c r="K1133" s="42" t="s">
        <v>256</v>
      </c>
      <c r="L1133" s="81" t="s">
        <v>260</v>
      </c>
      <c r="M1133" s="82" t="str">
        <f>LEFT(Table1[[#This Row],[Tegevusala kood]],2)</f>
        <v>09</v>
      </c>
      <c r="N1133" s="53" t="str">
        <f>VLOOKUP(Table1[[#This Row],[Tegevusala kood]],Table4[[Tegevusala kood]:[Tegevusala alanimetus]],2,FALSE)</f>
        <v>Tudu Lasteaed</v>
      </c>
      <c r="O1133" s="42"/>
      <c r="P1133" s="42"/>
      <c r="Q1133" s="53" t="str">
        <f>VLOOKUP(Table1[[#This Row],[Eelarvekonto]],Table5[[Konto]:[Kontode alanimetus]],5,FALSE)</f>
        <v>Majandamiskulud</v>
      </c>
      <c r="R1133" s="53" t="str">
        <f>VLOOKUP(Table1[[#This Row],[Tegevusala kood]],Table4[[Tegevusala kood]:[Tegevusala alanimetus]],4,FALSE)</f>
        <v>Alusharidus</v>
      </c>
      <c r="S1133" s="53"/>
      <c r="T1133" s="53"/>
      <c r="U1133" s="53">
        <f>Table1[[#This Row],[Summa]]+Table1[[#This Row],[I Muudatus]]+Table1[[#This Row],[II Muudatus]]</f>
        <v>600</v>
      </c>
    </row>
    <row r="1134" spans="1:21" ht="14.25" hidden="1" customHeight="1" x14ac:dyDescent="0.25">
      <c r="A1134" s="42" t="s">
        <v>161</v>
      </c>
      <c r="B1134" s="42">
        <v>230</v>
      </c>
      <c r="C1134" s="53">
        <v>5515</v>
      </c>
      <c r="D1134" s="53" t="str">
        <f>LEFT(Table1[[#This Row],[Eelarvekonto]],2)</f>
        <v>55</v>
      </c>
      <c r="E1134" s="42" t="str">
        <f>VLOOKUP(Table1[[#This Row],[Eelarvekonto]],Table5[[Konto]:[Konto nimetus]],2,FALSE)</f>
        <v>Inventari majandamiskulud</v>
      </c>
      <c r="F1134" s="42" t="s">
        <v>139</v>
      </c>
      <c r="G1134" s="42" t="s">
        <v>24</v>
      </c>
      <c r="H1134" s="42"/>
      <c r="I1134" s="42"/>
      <c r="J1134" s="42" t="s">
        <v>258</v>
      </c>
      <c r="K1134" s="42" t="s">
        <v>256</v>
      </c>
      <c r="L1134" s="81" t="s">
        <v>260</v>
      </c>
      <c r="M1134" s="82" t="str">
        <f>LEFT(Table1[[#This Row],[Tegevusala kood]],2)</f>
        <v>09</v>
      </c>
      <c r="N1134" s="53" t="str">
        <f>VLOOKUP(Table1[[#This Row],[Tegevusala kood]],Table4[[Tegevusala kood]:[Tegevusala alanimetus]],2,FALSE)</f>
        <v>Tudu Lasteaed</v>
      </c>
      <c r="O1134" s="42"/>
      <c r="P1134" s="42"/>
      <c r="Q1134" s="53" t="str">
        <f>VLOOKUP(Table1[[#This Row],[Eelarvekonto]],Table5[[Konto]:[Kontode alanimetus]],5,FALSE)</f>
        <v>Majandamiskulud</v>
      </c>
      <c r="R1134" s="53" t="str">
        <f>VLOOKUP(Table1[[#This Row],[Tegevusala kood]],Table4[[Tegevusala kood]:[Tegevusala alanimetus]],4,FALSE)</f>
        <v>Alusharidus</v>
      </c>
      <c r="S1134" s="53"/>
      <c r="T1134" s="53"/>
      <c r="U1134" s="53">
        <f>Table1[[#This Row],[Summa]]+Table1[[#This Row],[I Muudatus]]+Table1[[#This Row],[II Muudatus]]</f>
        <v>230</v>
      </c>
    </row>
    <row r="1135" spans="1:21" ht="14.25" hidden="1" customHeight="1" x14ac:dyDescent="0.25">
      <c r="A1135" s="42" t="s">
        <v>140</v>
      </c>
      <c r="B1135" s="42">
        <v>256.48</v>
      </c>
      <c r="C1135" s="53">
        <v>5504</v>
      </c>
      <c r="D1135" s="53" t="str">
        <f>LEFT(Table1[[#This Row],[Eelarvekonto]],2)</f>
        <v>55</v>
      </c>
      <c r="E1135" s="42" t="str">
        <f>VLOOKUP(Table1[[#This Row],[Eelarvekonto]],Table5[[Konto]:[Konto nimetus]],2,FALSE)</f>
        <v>Koolituskulud (sh koolituslähetus)</v>
      </c>
      <c r="F1135" s="42" t="s">
        <v>139</v>
      </c>
      <c r="G1135" s="42" t="s">
        <v>24</v>
      </c>
      <c r="H1135" s="42"/>
      <c r="I1135" s="42"/>
      <c r="J1135" s="42" t="s">
        <v>258</v>
      </c>
      <c r="K1135" s="42" t="s">
        <v>256</v>
      </c>
      <c r="L1135" s="81" t="s">
        <v>260</v>
      </c>
      <c r="M1135" s="82" t="str">
        <f>LEFT(Table1[[#This Row],[Tegevusala kood]],2)</f>
        <v>09</v>
      </c>
      <c r="N1135" s="53" t="str">
        <f>VLOOKUP(Table1[[#This Row],[Tegevusala kood]],Table4[[Tegevusala kood]:[Tegevusala alanimetus]],2,FALSE)</f>
        <v>Tudu Lasteaed</v>
      </c>
      <c r="O1135" s="42"/>
      <c r="P1135" s="42"/>
      <c r="Q1135" s="53" t="str">
        <f>VLOOKUP(Table1[[#This Row],[Eelarvekonto]],Table5[[Konto]:[Kontode alanimetus]],5,FALSE)</f>
        <v>Majandamiskulud</v>
      </c>
      <c r="R1135" s="53" t="str">
        <f>VLOOKUP(Table1[[#This Row],[Tegevusala kood]],Table4[[Tegevusala kood]:[Tegevusala alanimetus]],4,FALSE)</f>
        <v>Alusharidus</v>
      </c>
      <c r="S1135" s="53"/>
      <c r="T1135" s="53"/>
      <c r="U1135" s="53">
        <f>Table1[[#This Row],[Summa]]+Table1[[#This Row],[I Muudatus]]+Table1[[#This Row],[II Muudatus]]</f>
        <v>256.48</v>
      </c>
    </row>
    <row r="1136" spans="1:21" ht="14.25" hidden="1" customHeight="1" x14ac:dyDescent="0.25">
      <c r="A1136" s="42" t="s">
        <v>1294</v>
      </c>
      <c r="B1136" s="42">
        <v>200</v>
      </c>
      <c r="C1136" s="53">
        <v>5524</v>
      </c>
      <c r="D1136" s="53" t="str">
        <f>LEFT(Table1[[#This Row],[Eelarvekonto]],2)</f>
        <v>55</v>
      </c>
      <c r="E1136" s="42" t="str">
        <f>VLOOKUP(Table1[[#This Row],[Eelarvekonto]],Table5[[Konto]:[Konto nimetus]],2,FALSE)</f>
        <v>Õppevahendite ja koolituse kulud</v>
      </c>
      <c r="F1136" s="42" t="s">
        <v>139</v>
      </c>
      <c r="G1136" s="42" t="s">
        <v>24</v>
      </c>
      <c r="H1136" s="42"/>
      <c r="I1136" s="42"/>
      <c r="J1136" s="42" t="s">
        <v>264</v>
      </c>
      <c r="K1136" s="42" t="s">
        <v>263</v>
      </c>
      <c r="L1136" s="81" t="s">
        <v>278</v>
      </c>
      <c r="M1136" s="82" t="str">
        <f>LEFT(Table1[[#This Row],[Tegevusala kood]],2)</f>
        <v>09</v>
      </c>
      <c r="N1136" s="53" t="str">
        <f>VLOOKUP(Table1[[#This Row],[Tegevusala kood]],Table4[[Tegevusala kood]:[Tegevusala alanimetus]],2,FALSE)</f>
        <v>Roela Lasteaed</v>
      </c>
      <c r="O1136" s="42"/>
      <c r="P1136" s="42"/>
      <c r="Q1136" s="53" t="str">
        <f>VLOOKUP(Table1[[#This Row],[Eelarvekonto]],Table5[[Konto]:[Kontode alanimetus]],5,FALSE)</f>
        <v>Majandamiskulud</v>
      </c>
      <c r="R1136" s="53" t="str">
        <f>VLOOKUP(Table1[[#This Row],[Tegevusala kood]],Table4[[Tegevusala kood]:[Tegevusala alanimetus]],4,FALSE)</f>
        <v>Alusharidus</v>
      </c>
      <c r="S1136" s="53"/>
      <c r="T1136" s="53"/>
      <c r="U1136" s="53">
        <f>Table1[[#This Row],[Summa]]+Table1[[#This Row],[I Muudatus]]+Table1[[#This Row],[II Muudatus]]</f>
        <v>200</v>
      </c>
    </row>
    <row r="1137" spans="1:21" ht="14.25" hidden="1" customHeight="1" x14ac:dyDescent="0.25">
      <c r="A1137" s="42" t="s">
        <v>1295</v>
      </c>
      <c r="B1137" s="42">
        <v>300</v>
      </c>
      <c r="C1137" s="53">
        <v>5524</v>
      </c>
      <c r="D1137" s="53" t="str">
        <f>LEFT(Table1[[#This Row],[Eelarvekonto]],2)</f>
        <v>55</v>
      </c>
      <c r="E1137" s="42" t="str">
        <f>VLOOKUP(Table1[[#This Row],[Eelarvekonto]],Table5[[Konto]:[Konto nimetus]],2,FALSE)</f>
        <v>Õppevahendite ja koolituse kulud</v>
      </c>
      <c r="F1137" s="42" t="s">
        <v>139</v>
      </c>
      <c r="G1137" s="42" t="s">
        <v>24</v>
      </c>
      <c r="H1137" s="42"/>
      <c r="I1137" s="42"/>
      <c r="J1137" s="42" t="s">
        <v>264</v>
      </c>
      <c r="K1137" s="42" t="s">
        <v>263</v>
      </c>
      <c r="L1137" s="81" t="s">
        <v>278</v>
      </c>
      <c r="M1137" s="82" t="str">
        <f>LEFT(Table1[[#This Row],[Tegevusala kood]],2)</f>
        <v>09</v>
      </c>
      <c r="N1137" s="53" t="str">
        <f>VLOOKUP(Table1[[#This Row],[Tegevusala kood]],Table4[[Tegevusala kood]:[Tegevusala alanimetus]],2,FALSE)</f>
        <v>Roela Lasteaed</v>
      </c>
      <c r="O1137" s="42"/>
      <c r="P1137" s="42"/>
      <c r="Q1137" s="53" t="str">
        <f>VLOOKUP(Table1[[#This Row],[Eelarvekonto]],Table5[[Konto]:[Kontode alanimetus]],5,FALSE)</f>
        <v>Majandamiskulud</v>
      </c>
      <c r="R1137" s="53" t="str">
        <f>VLOOKUP(Table1[[#This Row],[Tegevusala kood]],Table4[[Tegevusala kood]:[Tegevusala alanimetus]],4,FALSE)</f>
        <v>Alusharidus</v>
      </c>
      <c r="S1137" s="53"/>
      <c r="T1137" s="53"/>
      <c r="U1137" s="53">
        <f>Table1[[#This Row],[Summa]]+Table1[[#This Row],[I Muudatus]]+Table1[[#This Row],[II Muudatus]]</f>
        <v>300</v>
      </c>
    </row>
    <row r="1138" spans="1:21" ht="14.25" hidden="1" customHeight="1" x14ac:dyDescent="0.25">
      <c r="A1138" s="42" t="s">
        <v>1296</v>
      </c>
      <c r="B1138" s="42">
        <v>200</v>
      </c>
      <c r="C1138" s="53">
        <v>5524</v>
      </c>
      <c r="D1138" s="53" t="str">
        <f>LEFT(Table1[[#This Row],[Eelarvekonto]],2)</f>
        <v>55</v>
      </c>
      <c r="E1138" s="42" t="str">
        <f>VLOOKUP(Table1[[#This Row],[Eelarvekonto]],Table5[[Konto]:[Konto nimetus]],2,FALSE)</f>
        <v>Õppevahendite ja koolituse kulud</v>
      </c>
      <c r="F1138" s="42" t="s">
        <v>139</v>
      </c>
      <c r="G1138" s="42" t="s">
        <v>24</v>
      </c>
      <c r="H1138" s="42"/>
      <c r="I1138" s="42"/>
      <c r="J1138" s="42" t="s">
        <v>264</v>
      </c>
      <c r="K1138" s="42" t="s">
        <v>263</v>
      </c>
      <c r="L1138" s="81" t="s">
        <v>278</v>
      </c>
      <c r="M1138" s="82" t="str">
        <f>LEFT(Table1[[#This Row],[Tegevusala kood]],2)</f>
        <v>09</v>
      </c>
      <c r="N1138" s="53" t="str">
        <f>VLOOKUP(Table1[[#This Row],[Tegevusala kood]],Table4[[Tegevusala kood]:[Tegevusala alanimetus]],2,FALSE)</f>
        <v>Roela Lasteaed</v>
      </c>
      <c r="O1138" s="42"/>
      <c r="P1138" s="42"/>
      <c r="Q1138" s="53" t="str">
        <f>VLOOKUP(Table1[[#This Row],[Eelarvekonto]],Table5[[Konto]:[Kontode alanimetus]],5,FALSE)</f>
        <v>Majandamiskulud</v>
      </c>
      <c r="R1138" s="53" t="str">
        <f>VLOOKUP(Table1[[#This Row],[Tegevusala kood]],Table4[[Tegevusala kood]:[Tegevusala alanimetus]],4,FALSE)</f>
        <v>Alusharidus</v>
      </c>
      <c r="S1138" s="53"/>
      <c r="T1138" s="53"/>
      <c r="U1138" s="53">
        <f>Table1[[#This Row],[Summa]]+Table1[[#This Row],[I Muudatus]]+Table1[[#This Row],[II Muudatus]]</f>
        <v>200</v>
      </c>
    </row>
    <row r="1139" spans="1:21" ht="14.25" hidden="1" customHeight="1" x14ac:dyDescent="0.25">
      <c r="A1139" s="42" t="s">
        <v>255</v>
      </c>
      <c r="B1139" s="42">
        <v>2018</v>
      </c>
      <c r="C1139" s="53">
        <v>5524</v>
      </c>
      <c r="D1139" s="53" t="str">
        <f>LEFT(Table1[[#This Row],[Eelarvekonto]],2)</f>
        <v>55</v>
      </c>
      <c r="E1139" s="42" t="str">
        <f>VLOOKUP(Table1[[#This Row],[Eelarvekonto]],Table5[[Konto]:[Konto nimetus]],2,FALSE)</f>
        <v>Õppevahendite ja koolituse kulud</v>
      </c>
      <c r="F1139" s="42" t="s">
        <v>139</v>
      </c>
      <c r="G1139" s="42" t="s">
        <v>24</v>
      </c>
      <c r="H1139" s="42"/>
      <c r="I1139" s="42"/>
      <c r="J1139" s="42" t="s">
        <v>264</v>
      </c>
      <c r="K1139" s="42" t="s">
        <v>263</v>
      </c>
      <c r="L1139" s="81" t="s">
        <v>278</v>
      </c>
      <c r="M1139" s="82" t="str">
        <f>LEFT(Table1[[#This Row],[Tegevusala kood]],2)</f>
        <v>09</v>
      </c>
      <c r="N1139" s="53" t="str">
        <f>VLOOKUP(Table1[[#This Row],[Tegevusala kood]],Table4[[Tegevusala kood]:[Tegevusala alanimetus]],2,FALSE)</f>
        <v>Roela Lasteaed</v>
      </c>
      <c r="O1139" s="42"/>
      <c r="P1139" s="42"/>
      <c r="Q1139" s="53" t="str">
        <f>VLOOKUP(Table1[[#This Row],[Eelarvekonto]],Table5[[Konto]:[Kontode alanimetus]],5,FALSE)</f>
        <v>Majandamiskulud</v>
      </c>
      <c r="R1139" s="53" t="str">
        <f>VLOOKUP(Table1[[#This Row],[Tegevusala kood]],Table4[[Tegevusala kood]:[Tegevusala alanimetus]],4,FALSE)</f>
        <v>Alusharidus</v>
      </c>
      <c r="S1139" s="53"/>
      <c r="T1139" s="53"/>
      <c r="U1139" s="53">
        <f>Table1[[#This Row],[Summa]]+Table1[[#This Row],[I Muudatus]]+Table1[[#This Row],[II Muudatus]]</f>
        <v>2018</v>
      </c>
    </row>
    <row r="1140" spans="1:21" ht="14.25" hidden="1" customHeight="1" x14ac:dyDescent="0.25">
      <c r="A1140" s="42" t="s">
        <v>140</v>
      </c>
      <c r="B1140" s="42">
        <v>500</v>
      </c>
      <c r="C1140" s="53">
        <v>5504</v>
      </c>
      <c r="D1140" s="53" t="str">
        <f>LEFT(Table1[[#This Row],[Eelarvekonto]],2)</f>
        <v>55</v>
      </c>
      <c r="E1140" s="42" t="str">
        <f>VLOOKUP(Table1[[#This Row],[Eelarvekonto]],Table5[[Konto]:[Konto nimetus]],2,FALSE)</f>
        <v>Koolituskulud (sh koolituslähetus)</v>
      </c>
      <c r="F1140" s="42" t="s">
        <v>139</v>
      </c>
      <c r="G1140" s="42" t="s">
        <v>24</v>
      </c>
      <c r="H1140" s="42"/>
      <c r="I1140" s="42"/>
      <c r="J1140" s="42" t="s">
        <v>264</v>
      </c>
      <c r="K1140" s="42" t="s">
        <v>263</v>
      </c>
      <c r="L1140" s="81" t="s">
        <v>278</v>
      </c>
      <c r="M1140" s="82" t="str">
        <f>LEFT(Table1[[#This Row],[Tegevusala kood]],2)</f>
        <v>09</v>
      </c>
      <c r="N1140" s="53" t="str">
        <f>VLOOKUP(Table1[[#This Row],[Tegevusala kood]],Table4[[Tegevusala kood]:[Tegevusala alanimetus]],2,FALSE)</f>
        <v>Roela Lasteaed</v>
      </c>
      <c r="O1140" s="42"/>
      <c r="P1140" s="42"/>
      <c r="Q1140" s="53" t="str">
        <f>VLOOKUP(Table1[[#This Row],[Eelarvekonto]],Table5[[Konto]:[Kontode alanimetus]],5,FALSE)</f>
        <v>Majandamiskulud</v>
      </c>
      <c r="R1140" s="53" t="str">
        <f>VLOOKUP(Table1[[#This Row],[Tegevusala kood]],Table4[[Tegevusala kood]:[Tegevusala alanimetus]],4,FALSE)</f>
        <v>Alusharidus</v>
      </c>
      <c r="S1140" s="53"/>
      <c r="T1140" s="53"/>
      <c r="U1140" s="53">
        <f>Table1[[#This Row],[Summa]]+Table1[[#This Row],[I Muudatus]]+Table1[[#This Row],[II Muudatus]]</f>
        <v>500</v>
      </c>
    </row>
    <row r="1141" spans="1:21" ht="14.25" hidden="1" customHeight="1" x14ac:dyDescent="0.25">
      <c r="A1141" s="42" t="s">
        <v>1297</v>
      </c>
      <c r="B1141" s="42">
        <v>4270</v>
      </c>
      <c r="C1141" s="53">
        <v>500</v>
      </c>
      <c r="D1141" s="53" t="str">
        <f>LEFT(Table1[[#This Row],[Eelarvekonto]],2)</f>
        <v>50</v>
      </c>
      <c r="E1141" s="42" t="str">
        <f>VLOOKUP(Table1[[#This Row],[Eelarvekonto]],Table5[[Konto]:[Konto nimetus]],2,FALSE)</f>
        <v>Töötasud</v>
      </c>
      <c r="F1141" s="42" t="s">
        <v>139</v>
      </c>
      <c r="G1141" s="42" t="s">
        <v>24</v>
      </c>
      <c r="H1141" s="42"/>
      <c r="I1141" s="42"/>
      <c r="J1141" s="42" t="s">
        <v>365</v>
      </c>
      <c r="K1141" s="42" t="s">
        <v>364</v>
      </c>
      <c r="L1141" s="81" t="s">
        <v>666</v>
      </c>
      <c r="M1141" s="82" t="str">
        <f>LEFT(Table1[[#This Row],[Tegevusala kood]],2)</f>
        <v>10</v>
      </c>
      <c r="N1141" s="53" t="str">
        <f>VLOOKUP(Table1[[#This Row],[Tegevusala kood]],Table4[[Tegevusala kood]:[Tegevusala alanimetus]],2,FALSE)</f>
        <v>Hooldajad</v>
      </c>
      <c r="O1141" s="42"/>
      <c r="P1141" s="42"/>
      <c r="Q1141" s="53" t="str">
        <f>VLOOKUP(Table1[[#This Row],[Eelarvekonto]],Table5[[Konto]:[Kontode alanimetus]],5,FALSE)</f>
        <v>Tööjõukulud</v>
      </c>
      <c r="R1141" s="53" t="str">
        <f>VLOOKUP(Table1[[#This Row],[Tegevusala kood]],Table4[[Tegevusala kood]:[Tegevusala alanimetus]],4,FALSE)</f>
        <v>Muu puuetega inimeste sotsiaalne kaitse</v>
      </c>
      <c r="S1141" s="53"/>
      <c r="T1141" s="53"/>
      <c r="U1141" s="53">
        <f>Table1[[#This Row],[Summa]]+Table1[[#This Row],[I Muudatus]]+Table1[[#This Row],[II Muudatus]]</f>
        <v>4270</v>
      </c>
    </row>
    <row r="1142" spans="1:21" ht="14.25" hidden="1" customHeight="1" x14ac:dyDescent="0.25">
      <c r="A1142" s="42" t="s">
        <v>1298</v>
      </c>
      <c r="B1142" s="42">
        <v>1600</v>
      </c>
      <c r="C1142" s="53">
        <v>4500</v>
      </c>
      <c r="D1142" s="53" t="str">
        <f>LEFT(Table1[[#This Row],[Eelarvekonto]],2)</f>
        <v>45</v>
      </c>
      <c r="E1142" s="42" t="str">
        <f>VLOOKUP(Table1[[#This Row],[Eelarvekonto]],Table5[[Konto]:[Konto nimetus]],2,FALSE)</f>
        <v>Antud sihtfinantseerimine tegevuskuludeks</v>
      </c>
      <c r="F1142" s="42" t="s">
        <v>139</v>
      </c>
      <c r="G1142" s="42" t="s">
        <v>24</v>
      </c>
      <c r="H1142" s="42"/>
      <c r="I1142" s="42"/>
      <c r="J1142" s="42" t="s">
        <v>365</v>
      </c>
      <c r="K1142" s="42" t="s">
        <v>364</v>
      </c>
      <c r="L1142" s="81" t="s">
        <v>400</v>
      </c>
      <c r="M1142" s="82" t="str">
        <f>LEFT(Table1[[#This Row],[Tegevusala kood]],2)</f>
        <v>10</v>
      </c>
      <c r="N1142" s="53" t="str">
        <f>VLOOKUP(Table1[[#This Row],[Tegevusala kood]],Table4[[Tegevusala kood]:[Tegevusala alanimetus]],2,FALSE)</f>
        <v>Puuetega inimeste sotsiaalhoolekandeasutused</v>
      </c>
      <c r="O1142" s="42"/>
      <c r="P1142" s="42"/>
      <c r="Q1142" s="53" t="str">
        <f>VLOOKUP(Table1[[#This Row],[Eelarvekonto]],Table5[[Konto]:[Kontode alanimetus]],5,FALSE)</f>
        <v>Sihtotstarbelised toetused tegevuskuludeks</v>
      </c>
      <c r="R1142" s="53" t="str">
        <f>VLOOKUP(Table1[[#This Row],[Tegevusala kood]],Table4[[Tegevusala kood]:[Tegevusala alanimetus]],4,FALSE)</f>
        <v>Puuetega inimeste sotsiaalhoolekandeasutused</v>
      </c>
      <c r="S1142" s="53"/>
      <c r="T1142" s="53"/>
      <c r="U1142" s="53">
        <f>Table1[[#This Row],[Summa]]+Table1[[#This Row],[I Muudatus]]+Table1[[#This Row],[II Muudatus]]</f>
        <v>1600</v>
      </c>
    </row>
    <row r="1143" spans="1:21" ht="14.25" hidden="1" customHeight="1" x14ac:dyDescent="0.25">
      <c r="A1143" s="42" t="s">
        <v>144</v>
      </c>
      <c r="B1143" s="42">
        <v>70</v>
      </c>
      <c r="C1143" s="53">
        <v>5500</v>
      </c>
      <c r="D1143" s="53" t="str">
        <f>LEFT(Table1[[#This Row],[Eelarvekonto]],2)</f>
        <v>55</v>
      </c>
      <c r="E1143" s="42" t="str">
        <f>VLOOKUP(Table1[[#This Row],[Eelarvekonto]],Table5[[Konto]:[Konto nimetus]],2,FALSE)</f>
        <v>Administreerimiskulud</v>
      </c>
      <c r="F1143" s="42" t="s">
        <v>139</v>
      </c>
      <c r="G1143" s="42" t="s">
        <v>24</v>
      </c>
      <c r="H1143" s="42"/>
      <c r="I1143" s="42"/>
      <c r="J1143" s="42" t="s">
        <v>138</v>
      </c>
      <c r="K1143" s="42" t="s">
        <v>136</v>
      </c>
      <c r="L1143" s="81" t="s">
        <v>137</v>
      </c>
      <c r="M1143" s="82" t="str">
        <f>LEFT(Table1[[#This Row],[Tegevusala kood]],2)</f>
        <v>10</v>
      </c>
      <c r="N1143" s="53" t="str">
        <f>VLOOKUP(Table1[[#This Row],[Tegevusala kood]],Table4[[Tegevusala kood]:[Tegevusala alanimetus]],2,FALSE)</f>
        <v>Vinni päevakeskus</v>
      </c>
      <c r="O1143" s="42"/>
      <c r="P1143" s="42"/>
      <c r="Q1143" s="53" t="str">
        <f>VLOOKUP(Table1[[#This Row],[Eelarvekonto]],Table5[[Konto]:[Kontode alanimetus]],5,FALSE)</f>
        <v>Majandamiskulud</v>
      </c>
      <c r="R1143" s="53" t="str">
        <f>VLOOKUP(Table1[[#This Row],[Tegevusala kood]],Table4[[Tegevusala kood]:[Tegevusala alanimetus]],4,FALSE)</f>
        <v>Eakate sotsiaalhoolekande asutused</v>
      </c>
      <c r="S1143" s="53"/>
      <c r="T1143" s="53"/>
      <c r="U1143" s="53">
        <f>Table1[[#This Row],[Summa]]+Table1[[#This Row],[I Muudatus]]+Table1[[#This Row],[II Muudatus]]</f>
        <v>70</v>
      </c>
    </row>
    <row r="1144" spans="1:21" ht="14.25" hidden="1" customHeight="1" x14ac:dyDescent="0.25">
      <c r="A1144" s="42" t="s">
        <v>151</v>
      </c>
      <c r="B1144" s="42">
        <v>30</v>
      </c>
      <c r="C1144" s="53">
        <v>5522</v>
      </c>
      <c r="D1144" s="53" t="str">
        <f>LEFT(Table1[[#This Row],[Eelarvekonto]],2)</f>
        <v>55</v>
      </c>
      <c r="E1144" s="42" t="str">
        <f>VLOOKUP(Table1[[#This Row],[Eelarvekonto]],Table5[[Konto]:[Konto nimetus]],2,FALSE)</f>
        <v>Meditsiinikulud ja hügieenikulud</v>
      </c>
      <c r="F1144" s="42" t="s">
        <v>139</v>
      </c>
      <c r="G1144" s="42" t="s">
        <v>24</v>
      </c>
      <c r="H1144" s="42"/>
      <c r="I1144" s="42"/>
      <c r="J1144" s="42" t="s">
        <v>138</v>
      </c>
      <c r="K1144" s="42" t="s">
        <v>136</v>
      </c>
      <c r="L1144" s="81" t="s">
        <v>137</v>
      </c>
      <c r="M1144" s="82" t="str">
        <f>LEFT(Table1[[#This Row],[Tegevusala kood]],2)</f>
        <v>10</v>
      </c>
      <c r="N1144" s="53" t="str">
        <f>VLOOKUP(Table1[[#This Row],[Tegevusala kood]],Table4[[Tegevusala kood]:[Tegevusala alanimetus]],2,FALSE)</f>
        <v>Vinni päevakeskus</v>
      </c>
      <c r="O1144" s="42"/>
      <c r="P1144" s="42"/>
      <c r="Q1144" s="53" t="str">
        <f>VLOOKUP(Table1[[#This Row],[Eelarvekonto]],Table5[[Konto]:[Kontode alanimetus]],5,FALSE)</f>
        <v>Majandamiskulud</v>
      </c>
      <c r="R1144" s="53" t="str">
        <f>VLOOKUP(Table1[[#This Row],[Tegevusala kood]],Table4[[Tegevusala kood]:[Tegevusala alanimetus]],4,FALSE)</f>
        <v>Eakate sotsiaalhoolekande asutused</v>
      </c>
      <c r="S1144" s="53"/>
      <c r="T1144" s="53"/>
      <c r="U1144" s="53">
        <f>Table1[[#This Row],[Summa]]+Table1[[#This Row],[I Muudatus]]+Table1[[#This Row],[II Muudatus]]</f>
        <v>30</v>
      </c>
    </row>
    <row r="1145" spans="1:21" ht="14.25" hidden="1" customHeight="1" x14ac:dyDescent="0.25">
      <c r="A1145" s="42" t="s">
        <v>144</v>
      </c>
      <c r="B1145" s="42">
        <v>200</v>
      </c>
      <c r="C1145" s="53">
        <v>5500</v>
      </c>
      <c r="D1145" s="53" t="str">
        <f>LEFT(Table1[[#This Row],[Eelarvekonto]],2)</f>
        <v>55</v>
      </c>
      <c r="E1145" s="42" t="str">
        <f>VLOOKUP(Table1[[#This Row],[Eelarvekonto]],Table5[[Konto]:[Konto nimetus]],2,FALSE)</f>
        <v>Administreerimiskulud</v>
      </c>
      <c r="F1145" s="42" t="s">
        <v>139</v>
      </c>
      <c r="G1145" s="42" t="s">
        <v>24</v>
      </c>
      <c r="H1145" s="42"/>
      <c r="I1145" s="42"/>
      <c r="J1145" s="42" t="s">
        <v>138</v>
      </c>
      <c r="K1145" s="42" t="s">
        <v>136</v>
      </c>
      <c r="L1145" s="81" t="s">
        <v>137</v>
      </c>
      <c r="M1145" s="82" t="str">
        <f>LEFT(Table1[[#This Row],[Tegevusala kood]],2)</f>
        <v>10</v>
      </c>
      <c r="N1145" s="53" t="str">
        <f>VLOOKUP(Table1[[#This Row],[Tegevusala kood]],Table4[[Tegevusala kood]:[Tegevusala alanimetus]],2,FALSE)</f>
        <v>Vinni päevakeskus</v>
      </c>
      <c r="O1145" s="42"/>
      <c r="P1145" s="42"/>
      <c r="Q1145" s="53" t="str">
        <f>VLOOKUP(Table1[[#This Row],[Eelarvekonto]],Table5[[Konto]:[Kontode alanimetus]],5,FALSE)</f>
        <v>Majandamiskulud</v>
      </c>
      <c r="R1145" s="53" t="str">
        <f>VLOOKUP(Table1[[#This Row],[Tegevusala kood]],Table4[[Tegevusala kood]:[Tegevusala alanimetus]],4,FALSE)</f>
        <v>Eakate sotsiaalhoolekande asutused</v>
      </c>
      <c r="S1145" s="53"/>
      <c r="T1145" s="53"/>
      <c r="U1145" s="53">
        <f>Table1[[#This Row],[Summa]]+Table1[[#This Row],[I Muudatus]]+Table1[[#This Row],[II Muudatus]]</f>
        <v>200</v>
      </c>
    </row>
    <row r="1146" spans="1:21" ht="14.25" hidden="1" customHeight="1" x14ac:dyDescent="0.25">
      <c r="A1146" s="42" t="s">
        <v>141</v>
      </c>
      <c r="B1146" s="42">
        <v>350</v>
      </c>
      <c r="C1146" s="53">
        <v>5525</v>
      </c>
      <c r="D1146" s="53" t="str">
        <f>LEFT(Table1[[#This Row],[Eelarvekonto]],2)</f>
        <v>55</v>
      </c>
      <c r="E1146" s="42" t="str">
        <f>VLOOKUP(Table1[[#This Row],[Eelarvekonto]],Table5[[Konto]:[Konto nimetus]],2,FALSE)</f>
        <v>Kommunikatsiooni-, kultuuri- ja vaba aja sisustamise kulud</v>
      </c>
      <c r="F1146" s="42" t="s">
        <v>139</v>
      </c>
      <c r="G1146" s="42" t="s">
        <v>24</v>
      </c>
      <c r="H1146" s="42"/>
      <c r="I1146" s="42"/>
      <c r="J1146" s="42" t="s">
        <v>138</v>
      </c>
      <c r="K1146" s="42" t="s">
        <v>136</v>
      </c>
      <c r="L1146" s="81" t="s">
        <v>137</v>
      </c>
      <c r="M1146" s="82" t="str">
        <f>LEFT(Table1[[#This Row],[Tegevusala kood]],2)</f>
        <v>10</v>
      </c>
      <c r="N1146" s="53" t="str">
        <f>VLOOKUP(Table1[[#This Row],[Tegevusala kood]],Table4[[Tegevusala kood]:[Tegevusala alanimetus]],2,FALSE)</f>
        <v>Vinni päevakeskus</v>
      </c>
      <c r="O1146" s="42"/>
      <c r="P1146" s="42"/>
      <c r="Q1146" s="53" t="str">
        <f>VLOOKUP(Table1[[#This Row],[Eelarvekonto]],Table5[[Konto]:[Kontode alanimetus]],5,FALSE)</f>
        <v>Majandamiskulud</v>
      </c>
      <c r="R1146" s="53" t="str">
        <f>VLOOKUP(Table1[[#This Row],[Tegevusala kood]],Table4[[Tegevusala kood]:[Tegevusala alanimetus]],4,FALSE)</f>
        <v>Eakate sotsiaalhoolekande asutused</v>
      </c>
      <c r="S1146" s="53"/>
      <c r="T1146" s="53"/>
      <c r="U1146" s="53">
        <f>Table1[[#This Row],[Summa]]+Table1[[#This Row],[I Muudatus]]+Table1[[#This Row],[II Muudatus]]</f>
        <v>350</v>
      </c>
    </row>
    <row r="1147" spans="1:21" ht="14.25" hidden="1" customHeight="1" x14ac:dyDescent="0.25">
      <c r="A1147" s="42" t="s">
        <v>161</v>
      </c>
      <c r="B1147" s="42">
        <v>70</v>
      </c>
      <c r="C1147" s="53">
        <v>5515</v>
      </c>
      <c r="D1147" s="53" t="str">
        <f>LEFT(Table1[[#This Row],[Eelarvekonto]],2)</f>
        <v>55</v>
      </c>
      <c r="E1147" s="42" t="str">
        <f>VLOOKUP(Table1[[#This Row],[Eelarvekonto]],Table5[[Konto]:[Konto nimetus]],2,FALSE)</f>
        <v>Inventari majandamiskulud</v>
      </c>
      <c r="F1147" s="42" t="s">
        <v>139</v>
      </c>
      <c r="G1147" s="42" t="s">
        <v>24</v>
      </c>
      <c r="H1147" s="42"/>
      <c r="I1147" s="42"/>
      <c r="J1147" s="42" t="s">
        <v>138</v>
      </c>
      <c r="K1147" s="42" t="s">
        <v>136</v>
      </c>
      <c r="L1147" s="81" t="s">
        <v>137</v>
      </c>
      <c r="M1147" s="82" t="str">
        <f>LEFT(Table1[[#This Row],[Tegevusala kood]],2)</f>
        <v>10</v>
      </c>
      <c r="N1147" s="53" t="str">
        <f>VLOOKUP(Table1[[#This Row],[Tegevusala kood]],Table4[[Tegevusala kood]:[Tegevusala alanimetus]],2,FALSE)</f>
        <v>Vinni päevakeskus</v>
      </c>
      <c r="O1147" s="42"/>
      <c r="P1147" s="42"/>
      <c r="Q1147" s="53" t="str">
        <f>VLOOKUP(Table1[[#This Row],[Eelarvekonto]],Table5[[Konto]:[Kontode alanimetus]],5,FALSE)</f>
        <v>Majandamiskulud</v>
      </c>
      <c r="R1147" s="53" t="str">
        <f>VLOOKUP(Table1[[#This Row],[Tegevusala kood]],Table4[[Tegevusala kood]:[Tegevusala alanimetus]],4,FALSE)</f>
        <v>Eakate sotsiaalhoolekande asutused</v>
      </c>
      <c r="S1147" s="53"/>
      <c r="T1147" s="53"/>
      <c r="U1147" s="53">
        <f>Table1[[#This Row],[Summa]]+Table1[[#This Row],[I Muudatus]]+Table1[[#This Row],[II Muudatus]]</f>
        <v>70</v>
      </c>
    </row>
    <row r="1148" spans="1:21" ht="14.25" hidden="1" customHeight="1" x14ac:dyDescent="0.25">
      <c r="A1148" s="42" t="s">
        <v>141</v>
      </c>
      <c r="B1148" s="42">
        <v>1240</v>
      </c>
      <c r="C1148" s="53">
        <v>5525</v>
      </c>
      <c r="D1148" s="53" t="str">
        <f>LEFT(Table1[[#This Row],[Eelarvekonto]],2)</f>
        <v>55</v>
      </c>
      <c r="E1148" s="42" t="str">
        <f>VLOOKUP(Table1[[#This Row],[Eelarvekonto]],Table5[[Konto]:[Konto nimetus]],2,FALSE)</f>
        <v>Kommunikatsiooni-, kultuuri- ja vaba aja sisustamise kulud</v>
      </c>
      <c r="F1148" s="42" t="s">
        <v>139</v>
      </c>
      <c r="G1148" s="42" t="s">
        <v>24</v>
      </c>
      <c r="H1148" s="42"/>
      <c r="I1148" s="42"/>
      <c r="J1148" s="42" t="s">
        <v>138</v>
      </c>
      <c r="K1148" s="42" t="s">
        <v>136</v>
      </c>
      <c r="L1148" s="81" t="s">
        <v>137</v>
      </c>
      <c r="M1148" s="82" t="str">
        <f>LEFT(Table1[[#This Row],[Tegevusala kood]],2)</f>
        <v>10</v>
      </c>
      <c r="N1148" s="53" t="str">
        <f>VLOOKUP(Table1[[#This Row],[Tegevusala kood]],Table4[[Tegevusala kood]:[Tegevusala alanimetus]],2,FALSE)</f>
        <v>Vinni päevakeskus</v>
      </c>
      <c r="O1148" s="42"/>
      <c r="P1148" s="42"/>
      <c r="Q1148" s="53" t="str">
        <f>VLOOKUP(Table1[[#This Row],[Eelarvekonto]],Table5[[Konto]:[Kontode alanimetus]],5,FALSE)</f>
        <v>Majandamiskulud</v>
      </c>
      <c r="R1148" s="53" t="str">
        <f>VLOOKUP(Table1[[#This Row],[Tegevusala kood]],Table4[[Tegevusala kood]:[Tegevusala alanimetus]],4,FALSE)</f>
        <v>Eakate sotsiaalhoolekande asutused</v>
      </c>
      <c r="S1148" s="53"/>
      <c r="T1148" s="53"/>
      <c r="U1148" s="53">
        <f>Table1[[#This Row],[Summa]]+Table1[[#This Row],[I Muudatus]]+Table1[[#This Row],[II Muudatus]]</f>
        <v>1240</v>
      </c>
    </row>
    <row r="1149" spans="1:21" ht="14.25" hidden="1" customHeight="1" x14ac:dyDescent="0.25">
      <c r="A1149" s="42" t="s">
        <v>140</v>
      </c>
      <c r="B1149" s="42">
        <v>50</v>
      </c>
      <c r="C1149" s="53">
        <v>5504</v>
      </c>
      <c r="D1149" s="53" t="str">
        <f>LEFT(Table1[[#This Row],[Eelarvekonto]],2)</f>
        <v>55</v>
      </c>
      <c r="E1149" s="42" t="str">
        <f>VLOOKUP(Table1[[#This Row],[Eelarvekonto]],Table5[[Konto]:[Konto nimetus]],2,FALSE)</f>
        <v>Koolituskulud (sh koolituslähetus)</v>
      </c>
      <c r="F1149" s="42" t="s">
        <v>139</v>
      </c>
      <c r="G1149" s="42" t="s">
        <v>24</v>
      </c>
      <c r="H1149" s="42"/>
      <c r="I1149" s="42"/>
      <c r="J1149" s="42" t="s">
        <v>138</v>
      </c>
      <c r="K1149" s="42" t="s">
        <v>136</v>
      </c>
      <c r="L1149" s="81" t="s">
        <v>137</v>
      </c>
      <c r="M1149" s="82" t="str">
        <f>LEFT(Table1[[#This Row],[Tegevusala kood]],2)</f>
        <v>10</v>
      </c>
      <c r="N1149" s="53" t="str">
        <f>VLOOKUP(Table1[[#This Row],[Tegevusala kood]],Table4[[Tegevusala kood]:[Tegevusala alanimetus]],2,FALSE)</f>
        <v>Vinni päevakeskus</v>
      </c>
      <c r="O1149" s="42"/>
      <c r="P1149" s="42"/>
      <c r="Q1149" s="53" t="str">
        <f>VLOOKUP(Table1[[#This Row],[Eelarvekonto]],Table5[[Konto]:[Kontode alanimetus]],5,FALSE)</f>
        <v>Majandamiskulud</v>
      </c>
      <c r="R1149" s="53" t="str">
        <f>VLOOKUP(Table1[[#This Row],[Tegevusala kood]],Table4[[Tegevusala kood]:[Tegevusala alanimetus]],4,FALSE)</f>
        <v>Eakate sotsiaalhoolekande asutused</v>
      </c>
      <c r="S1149" s="53"/>
      <c r="T1149" s="53"/>
      <c r="U1149" s="53">
        <f>Table1[[#This Row],[Summa]]+Table1[[#This Row],[I Muudatus]]+Table1[[#This Row],[II Muudatus]]</f>
        <v>50</v>
      </c>
    </row>
    <row r="1150" spans="1:21" ht="14.25" hidden="1" customHeight="1" x14ac:dyDescent="0.25">
      <c r="A1150" s="42" t="s">
        <v>141</v>
      </c>
      <c r="B1150" s="42">
        <v>1040</v>
      </c>
      <c r="C1150" s="53">
        <v>5525</v>
      </c>
      <c r="D1150" s="53" t="str">
        <f>LEFT(Table1[[#This Row],[Eelarvekonto]],2)</f>
        <v>55</v>
      </c>
      <c r="E1150" s="42" t="str">
        <f>VLOOKUP(Table1[[#This Row],[Eelarvekonto]],Table5[[Konto]:[Konto nimetus]],2,FALSE)</f>
        <v>Kommunikatsiooni-, kultuuri- ja vaba aja sisustamise kulud</v>
      </c>
      <c r="F1150" s="42" t="s">
        <v>139</v>
      </c>
      <c r="G1150" s="42" t="s">
        <v>24</v>
      </c>
      <c r="H1150" s="42"/>
      <c r="I1150" s="42"/>
      <c r="J1150" s="42" t="s">
        <v>138</v>
      </c>
      <c r="K1150" s="42" t="s">
        <v>136</v>
      </c>
      <c r="L1150" s="81" t="s">
        <v>137</v>
      </c>
      <c r="M1150" s="82" t="str">
        <f>LEFT(Table1[[#This Row],[Tegevusala kood]],2)</f>
        <v>10</v>
      </c>
      <c r="N1150" s="53" t="str">
        <f>VLOOKUP(Table1[[#This Row],[Tegevusala kood]],Table4[[Tegevusala kood]:[Tegevusala alanimetus]],2,FALSE)</f>
        <v>Vinni päevakeskus</v>
      </c>
      <c r="O1150" s="42"/>
      <c r="P1150" s="42"/>
      <c r="Q1150" s="53" t="str">
        <f>VLOOKUP(Table1[[#This Row],[Eelarvekonto]],Table5[[Konto]:[Kontode alanimetus]],5,FALSE)</f>
        <v>Majandamiskulud</v>
      </c>
      <c r="R1150" s="53" t="str">
        <f>VLOOKUP(Table1[[#This Row],[Tegevusala kood]],Table4[[Tegevusala kood]:[Tegevusala alanimetus]],4,FALSE)</f>
        <v>Eakate sotsiaalhoolekande asutused</v>
      </c>
      <c r="S1150" s="53"/>
      <c r="T1150" s="53"/>
      <c r="U1150" s="53">
        <f>Table1[[#This Row],[Summa]]+Table1[[#This Row],[I Muudatus]]+Table1[[#This Row],[II Muudatus]]</f>
        <v>1040</v>
      </c>
    </row>
    <row r="1151" spans="1:21" ht="14.25" hidden="1" customHeight="1" x14ac:dyDescent="0.25">
      <c r="A1151" s="42" t="s">
        <v>151</v>
      </c>
      <c r="B1151" s="42">
        <v>60</v>
      </c>
      <c r="C1151" s="53">
        <v>5522</v>
      </c>
      <c r="D1151" s="53" t="str">
        <f>LEFT(Table1[[#This Row],[Eelarvekonto]],2)</f>
        <v>55</v>
      </c>
      <c r="E1151" s="42" t="str">
        <f>VLOOKUP(Table1[[#This Row],[Eelarvekonto]],Table5[[Konto]:[Konto nimetus]],2,FALSE)</f>
        <v>Meditsiinikulud ja hügieenikulud</v>
      </c>
      <c r="F1151" s="42" t="s">
        <v>139</v>
      </c>
      <c r="G1151" s="42" t="s">
        <v>24</v>
      </c>
      <c r="H1151" s="42"/>
      <c r="I1151" s="42"/>
      <c r="J1151" s="42" t="s">
        <v>283</v>
      </c>
      <c r="K1151" s="42" t="s">
        <v>281</v>
      </c>
      <c r="L1151" s="81" t="s">
        <v>282</v>
      </c>
      <c r="M1151" s="82" t="str">
        <f>LEFT(Table1[[#This Row],[Tegevusala kood]],2)</f>
        <v>09</v>
      </c>
      <c r="N1151" s="53" t="str">
        <f>VLOOKUP(Table1[[#This Row],[Tegevusala kood]],Table4[[Tegevusala kood]:[Tegevusala alanimetus]],2,FALSE)</f>
        <v>Pajusti Lasteaed Ulvis</v>
      </c>
      <c r="O1151" s="42"/>
      <c r="P1151" s="42"/>
      <c r="Q1151" s="53" t="str">
        <f>VLOOKUP(Table1[[#This Row],[Eelarvekonto]],Table5[[Konto]:[Kontode alanimetus]],5,FALSE)</f>
        <v>Majandamiskulud</v>
      </c>
      <c r="R1151" s="53" t="str">
        <f>VLOOKUP(Table1[[#This Row],[Tegevusala kood]],Table4[[Tegevusala kood]:[Tegevusala alanimetus]],4,FALSE)</f>
        <v>Alusharidus</v>
      </c>
      <c r="S1151" s="53"/>
      <c r="T1151" s="53"/>
      <c r="U1151" s="53">
        <f>Table1[[#This Row],[Summa]]+Table1[[#This Row],[I Muudatus]]+Table1[[#This Row],[II Muudatus]]</f>
        <v>60</v>
      </c>
    </row>
    <row r="1152" spans="1:21" ht="14.25" hidden="1" customHeight="1" x14ac:dyDescent="0.25">
      <c r="A1152" s="42" t="s">
        <v>1299</v>
      </c>
      <c r="B1152" s="42">
        <v>500</v>
      </c>
      <c r="C1152" s="53">
        <v>5515</v>
      </c>
      <c r="D1152" s="53" t="str">
        <f>LEFT(Table1[[#This Row],[Eelarvekonto]],2)</f>
        <v>55</v>
      </c>
      <c r="E1152" s="42" t="str">
        <f>VLOOKUP(Table1[[#This Row],[Eelarvekonto]],Table5[[Konto]:[Konto nimetus]],2,FALSE)</f>
        <v>Inventari majandamiskulud</v>
      </c>
      <c r="F1152" s="42" t="s">
        <v>139</v>
      </c>
      <c r="G1152" s="42" t="s">
        <v>24</v>
      </c>
      <c r="H1152" s="42"/>
      <c r="I1152" s="42"/>
      <c r="J1152" s="42" t="s">
        <v>283</v>
      </c>
      <c r="K1152" s="42" t="s">
        <v>281</v>
      </c>
      <c r="L1152" s="81" t="s">
        <v>282</v>
      </c>
      <c r="M1152" s="82" t="str">
        <f>LEFT(Table1[[#This Row],[Tegevusala kood]],2)</f>
        <v>09</v>
      </c>
      <c r="N1152" s="53" t="str">
        <f>VLOOKUP(Table1[[#This Row],[Tegevusala kood]],Table4[[Tegevusala kood]:[Tegevusala alanimetus]],2,FALSE)</f>
        <v>Pajusti Lasteaed Ulvis</v>
      </c>
      <c r="O1152" s="42"/>
      <c r="P1152" s="42"/>
      <c r="Q1152" s="53" t="str">
        <f>VLOOKUP(Table1[[#This Row],[Eelarvekonto]],Table5[[Konto]:[Kontode alanimetus]],5,FALSE)</f>
        <v>Majandamiskulud</v>
      </c>
      <c r="R1152" s="53" t="str">
        <f>VLOOKUP(Table1[[#This Row],[Tegevusala kood]],Table4[[Tegevusala kood]:[Tegevusala alanimetus]],4,FALSE)</f>
        <v>Alusharidus</v>
      </c>
      <c r="S1152" s="53"/>
      <c r="T1152" s="53"/>
      <c r="U1152" s="53">
        <f>Table1[[#This Row],[Summa]]+Table1[[#This Row],[I Muudatus]]+Table1[[#This Row],[II Muudatus]]</f>
        <v>500</v>
      </c>
    </row>
    <row r="1153" spans="1:21" ht="14.25" hidden="1" customHeight="1" x14ac:dyDescent="0.25">
      <c r="A1153" s="42" t="s">
        <v>1239</v>
      </c>
      <c r="B1153" s="42">
        <v>50</v>
      </c>
      <c r="C1153" s="53">
        <v>5500</v>
      </c>
      <c r="D1153" s="53" t="str">
        <f>LEFT(Table1[[#This Row],[Eelarvekonto]],2)</f>
        <v>55</v>
      </c>
      <c r="E1153" s="42" t="str">
        <f>VLOOKUP(Table1[[#This Row],[Eelarvekonto]],Table5[[Konto]:[Konto nimetus]],2,FALSE)</f>
        <v>Administreerimiskulud</v>
      </c>
      <c r="F1153" s="42" t="s">
        <v>139</v>
      </c>
      <c r="G1153" s="42" t="s">
        <v>24</v>
      </c>
      <c r="H1153" s="42"/>
      <c r="I1153" s="42"/>
      <c r="J1153" s="42" t="s">
        <v>283</v>
      </c>
      <c r="K1153" s="42" t="s">
        <v>281</v>
      </c>
      <c r="L1153" s="81" t="s">
        <v>282</v>
      </c>
      <c r="M1153" s="82" t="str">
        <f>LEFT(Table1[[#This Row],[Tegevusala kood]],2)</f>
        <v>09</v>
      </c>
      <c r="N1153" s="53" t="str">
        <f>VLOOKUP(Table1[[#This Row],[Tegevusala kood]],Table4[[Tegevusala kood]:[Tegevusala alanimetus]],2,FALSE)</f>
        <v>Pajusti Lasteaed Ulvis</v>
      </c>
      <c r="O1153" s="42"/>
      <c r="P1153" s="42"/>
      <c r="Q1153" s="53" t="str">
        <f>VLOOKUP(Table1[[#This Row],[Eelarvekonto]],Table5[[Konto]:[Kontode alanimetus]],5,FALSE)</f>
        <v>Majandamiskulud</v>
      </c>
      <c r="R1153" s="53" t="str">
        <f>VLOOKUP(Table1[[#This Row],[Tegevusala kood]],Table4[[Tegevusala kood]:[Tegevusala alanimetus]],4,FALSE)</f>
        <v>Alusharidus</v>
      </c>
      <c r="S1153" s="53"/>
      <c r="T1153" s="53"/>
      <c r="U1153" s="53">
        <f>Table1[[#This Row],[Summa]]+Table1[[#This Row],[I Muudatus]]+Table1[[#This Row],[II Muudatus]]</f>
        <v>50</v>
      </c>
    </row>
    <row r="1154" spans="1:21" ht="14.25" hidden="1" customHeight="1" x14ac:dyDescent="0.25">
      <c r="A1154" s="42" t="s">
        <v>143</v>
      </c>
      <c r="B1154" s="42">
        <v>1100</v>
      </c>
      <c r="C1154" s="53">
        <v>5511</v>
      </c>
      <c r="D1154" s="53" t="str">
        <f>LEFT(Table1[[#This Row],[Eelarvekonto]],2)</f>
        <v>55</v>
      </c>
      <c r="E1154" s="42" t="str">
        <f>VLOOKUP(Table1[[#This Row],[Eelarvekonto]],Table5[[Konto]:[Konto nimetus]],2,FALSE)</f>
        <v>Kinnistute, hoonete ja ruumide majandamiskulud</v>
      </c>
      <c r="F1154" s="42" t="s">
        <v>139</v>
      </c>
      <c r="G1154" s="42" t="s">
        <v>24</v>
      </c>
      <c r="H1154" s="42"/>
      <c r="I1154" s="42"/>
      <c r="J1154" s="42" t="s">
        <v>283</v>
      </c>
      <c r="K1154" s="42" t="s">
        <v>281</v>
      </c>
      <c r="L1154" s="81" t="s">
        <v>282</v>
      </c>
      <c r="M1154" s="82" t="str">
        <f>LEFT(Table1[[#This Row],[Tegevusala kood]],2)</f>
        <v>09</v>
      </c>
      <c r="N1154" s="53" t="str">
        <f>VLOOKUP(Table1[[#This Row],[Tegevusala kood]],Table4[[Tegevusala kood]:[Tegevusala alanimetus]],2,FALSE)</f>
        <v>Pajusti Lasteaed Ulvis</v>
      </c>
      <c r="O1154" s="42"/>
      <c r="P1154" s="42"/>
      <c r="Q1154" s="53" t="str">
        <f>VLOOKUP(Table1[[#This Row],[Eelarvekonto]],Table5[[Konto]:[Kontode alanimetus]],5,FALSE)</f>
        <v>Majandamiskulud</v>
      </c>
      <c r="R1154" s="53" t="str">
        <f>VLOOKUP(Table1[[#This Row],[Tegevusala kood]],Table4[[Tegevusala kood]:[Tegevusala alanimetus]],4,FALSE)</f>
        <v>Alusharidus</v>
      </c>
      <c r="S1154" s="53"/>
      <c r="T1154" s="53"/>
      <c r="U1154" s="53">
        <f>Table1[[#This Row],[Summa]]+Table1[[#This Row],[I Muudatus]]+Table1[[#This Row],[II Muudatus]]</f>
        <v>1100</v>
      </c>
    </row>
    <row r="1155" spans="1:21" ht="14.25" hidden="1" customHeight="1" x14ac:dyDescent="0.25">
      <c r="A1155" s="42" t="s">
        <v>287</v>
      </c>
      <c r="B1155" s="42">
        <v>300</v>
      </c>
      <c r="C1155" s="53">
        <v>5511</v>
      </c>
      <c r="D1155" s="53" t="str">
        <f>LEFT(Table1[[#This Row],[Eelarvekonto]],2)</f>
        <v>55</v>
      </c>
      <c r="E1155" s="42" t="str">
        <f>VLOOKUP(Table1[[#This Row],[Eelarvekonto]],Table5[[Konto]:[Konto nimetus]],2,FALSE)</f>
        <v>Kinnistute, hoonete ja ruumide majandamiskulud</v>
      </c>
      <c r="F1155" s="42" t="s">
        <v>139</v>
      </c>
      <c r="G1155" s="42" t="s">
        <v>24</v>
      </c>
      <c r="H1155" s="42"/>
      <c r="I1155" s="42"/>
      <c r="J1155" s="42" t="s">
        <v>283</v>
      </c>
      <c r="K1155" s="42" t="s">
        <v>281</v>
      </c>
      <c r="L1155" s="81" t="s">
        <v>282</v>
      </c>
      <c r="M1155" s="82" t="str">
        <f>LEFT(Table1[[#This Row],[Tegevusala kood]],2)</f>
        <v>09</v>
      </c>
      <c r="N1155" s="53" t="str">
        <f>VLOOKUP(Table1[[#This Row],[Tegevusala kood]],Table4[[Tegevusala kood]:[Tegevusala alanimetus]],2,FALSE)</f>
        <v>Pajusti Lasteaed Ulvis</v>
      </c>
      <c r="O1155" s="42"/>
      <c r="P1155" s="42"/>
      <c r="Q1155" s="53" t="str">
        <f>VLOOKUP(Table1[[#This Row],[Eelarvekonto]],Table5[[Konto]:[Kontode alanimetus]],5,FALSE)</f>
        <v>Majandamiskulud</v>
      </c>
      <c r="R1155" s="53" t="str">
        <f>VLOOKUP(Table1[[#This Row],[Tegevusala kood]],Table4[[Tegevusala kood]:[Tegevusala alanimetus]],4,FALSE)</f>
        <v>Alusharidus</v>
      </c>
      <c r="S1155" s="53"/>
      <c r="T1155" s="53"/>
      <c r="U1155" s="53">
        <f>Table1[[#This Row],[Summa]]+Table1[[#This Row],[I Muudatus]]+Table1[[#This Row],[II Muudatus]]</f>
        <v>300</v>
      </c>
    </row>
    <row r="1156" spans="1:21" ht="14.25" hidden="1" customHeight="1" x14ac:dyDescent="0.25">
      <c r="A1156" s="42" t="s">
        <v>1036</v>
      </c>
      <c r="B1156" s="42">
        <v>3178</v>
      </c>
      <c r="C1156" s="53">
        <v>5005</v>
      </c>
      <c r="D1156" s="53" t="str">
        <f>LEFT(Table1[[#This Row],[Eelarvekonto]],2)</f>
        <v>50</v>
      </c>
      <c r="E1156" s="42" t="str">
        <f>VLOOKUP(Table1[[#This Row],[Eelarvekonto]],Table5[[Konto]:[Konto nimetus]],2,FALSE)</f>
        <v>Töötasud võlaõiguslike lepingute alusel</v>
      </c>
      <c r="F1156" s="42" t="s">
        <v>139</v>
      </c>
      <c r="G1156" s="42" t="s">
        <v>24</v>
      </c>
      <c r="H1156" s="42"/>
      <c r="I1156" s="42"/>
      <c r="J1156" s="42" t="s">
        <v>283</v>
      </c>
      <c r="K1156" s="42" t="s">
        <v>281</v>
      </c>
      <c r="L1156" s="81" t="s">
        <v>282</v>
      </c>
      <c r="M1156" s="82" t="str">
        <f>LEFT(Table1[[#This Row],[Tegevusala kood]],2)</f>
        <v>09</v>
      </c>
      <c r="N1156" s="53" t="str">
        <f>VLOOKUP(Table1[[#This Row],[Tegevusala kood]],Table4[[Tegevusala kood]:[Tegevusala alanimetus]],2,FALSE)</f>
        <v>Pajusti Lasteaed Ulvis</v>
      </c>
      <c r="O1156" s="42"/>
      <c r="P1156" s="42"/>
      <c r="Q1156" s="53" t="str">
        <f>VLOOKUP(Table1[[#This Row],[Eelarvekonto]],Table5[[Konto]:[Kontode alanimetus]],5,FALSE)</f>
        <v>Tööjõukulud</v>
      </c>
      <c r="R1156" s="53" t="str">
        <f>VLOOKUP(Table1[[#This Row],[Tegevusala kood]],Table4[[Tegevusala kood]:[Tegevusala alanimetus]],4,FALSE)</f>
        <v>Alusharidus</v>
      </c>
      <c r="S1156" s="53"/>
      <c r="T1156" s="53"/>
      <c r="U1156" s="53">
        <f>Table1[[#This Row],[Summa]]+Table1[[#This Row],[I Muudatus]]+Table1[[#This Row],[II Muudatus]]</f>
        <v>3178</v>
      </c>
    </row>
    <row r="1157" spans="1:21" ht="14.25" hidden="1" customHeight="1" x14ac:dyDescent="0.25">
      <c r="A1157" s="42" t="s">
        <v>141</v>
      </c>
      <c r="B1157" s="42">
        <v>400</v>
      </c>
      <c r="C1157" s="53">
        <v>5525</v>
      </c>
      <c r="D1157" s="53" t="str">
        <f>LEFT(Table1[[#This Row],[Eelarvekonto]],2)</f>
        <v>55</v>
      </c>
      <c r="E1157" s="42" t="str">
        <f>VLOOKUP(Table1[[#This Row],[Eelarvekonto]],Table5[[Konto]:[Konto nimetus]],2,FALSE)</f>
        <v>Kommunikatsiooni-, kultuuri- ja vaba aja sisustamise kulud</v>
      </c>
      <c r="F1157" s="42" t="s">
        <v>139</v>
      </c>
      <c r="G1157" s="42" t="s">
        <v>24</v>
      </c>
      <c r="H1157" s="42"/>
      <c r="I1157" s="42"/>
      <c r="J1157" s="42" t="s">
        <v>283</v>
      </c>
      <c r="K1157" s="42" t="s">
        <v>281</v>
      </c>
      <c r="L1157" s="81" t="s">
        <v>282</v>
      </c>
      <c r="M1157" s="82" t="str">
        <f>LEFT(Table1[[#This Row],[Tegevusala kood]],2)</f>
        <v>09</v>
      </c>
      <c r="N1157" s="53" t="str">
        <f>VLOOKUP(Table1[[#This Row],[Tegevusala kood]],Table4[[Tegevusala kood]:[Tegevusala alanimetus]],2,FALSE)</f>
        <v>Pajusti Lasteaed Ulvis</v>
      </c>
      <c r="O1157" s="42"/>
      <c r="P1157" s="42"/>
      <c r="Q1157" s="53" t="str">
        <f>VLOOKUP(Table1[[#This Row],[Eelarvekonto]],Table5[[Konto]:[Kontode alanimetus]],5,FALSE)</f>
        <v>Majandamiskulud</v>
      </c>
      <c r="R1157" s="53" t="str">
        <f>VLOOKUP(Table1[[#This Row],[Tegevusala kood]],Table4[[Tegevusala kood]:[Tegevusala alanimetus]],4,FALSE)</f>
        <v>Alusharidus</v>
      </c>
      <c r="S1157" s="53"/>
      <c r="T1157" s="53"/>
      <c r="U1157" s="53">
        <f>Table1[[#This Row],[Summa]]+Table1[[#This Row],[I Muudatus]]+Table1[[#This Row],[II Muudatus]]</f>
        <v>400</v>
      </c>
    </row>
    <row r="1158" spans="1:21" ht="14.25" hidden="1" customHeight="1" x14ac:dyDescent="0.25">
      <c r="A1158" s="42" t="s">
        <v>1300</v>
      </c>
      <c r="B1158" s="42">
        <v>16950.41</v>
      </c>
      <c r="C1158" s="53">
        <v>5511</v>
      </c>
      <c r="D1158" s="53" t="str">
        <f>LEFT(Table1[[#This Row],[Eelarvekonto]],2)</f>
        <v>55</v>
      </c>
      <c r="E1158" s="42" t="str">
        <f>VLOOKUP(Table1[[#This Row],[Eelarvekonto]],Table5[[Konto]:[Konto nimetus]],2,FALSE)</f>
        <v>Kinnistute, hoonete ja ruumide majandamiskulud</v>
      </c>
      <c r="F1158" s="42" t="s">
        <v>139</v>
      </c>
      <c r="G1158" s="42" t="s">
        <v>24</v>
      </c>
      <c r="H1158" s="42"/>
      <c r="I1158" s="42"/>
      <c r="J1158" s="42" t="s">
        <v>283</v>
      </c>
      <c r="K1158" s="42" t="s">
        <v>281</v>
      </c>
      <c r="L1158" s="81" t="s">
        <v>282</v>
      </c>
      <c r="M1158" s="82" t="str">
        <f>LEFT(Table1[[#This Row],[Tegevusala kood]],2)</f>
        <v>09</v>
      </c>
      <c r="N1158" s="53" t="str">
        <f>VLOOKUP(Table1[[#This Row],[Tegevusala kood]],Table4[[Tegevusala kood]:[Tegevusala alanimetus]],2,FALSE)</f>
        <v>Pajusti Lasteaed Ulvis</v>
      </c>
      <c r="O1158" s="42"/>
      <c r="P1158" s="42"/>
      <c r="Q1158" s="53" t="str">
        <f>VLOOKUP(Table1[[#This Row],[Eelarvekonto]],Table5[[Konto]:[Kontode alanimetus]],5,FALSE)</f>
        <v>Majandamiskulud</v>
      </c>
      <c r="R1158" s="53" t="str">
        <f>VLOOKUP(Table1[[#This Row],[Tegevusala kood]],Table4[[Tegevusala kood]:[Tegevusala alanimetus]],4,FALSE)</f>
        <v>Alusharidus</v>
      </c>
      <c r="S1158" s="53"/>
      <c r="T1158" s="53"/>
      <c r="U1158" s="53">
        <f>Table1[[#This Row],[Summa]]+Table1[[#This Row],[I Muudatus]]+Table1[[#This Row],[II Muudatus]]</f>
        <v>16950.41</v>
      </c>
    </row>
    <row r="1159" spans="1:21" ht="14.25" hidden="1" customHeight="1" x14ac:dyDescent="0.25">
      <c r="A1159" s="42" t="s">
        <v>221</v>
      </c>
      <c r="B1159" s="42">
        <v>500</v>
      </c>
      <c r="C1159" s="53">
        <v>5500</v>
      </c>
      <c r="D1159" s="53" t="str">
        <f>LEFT(Table1[[#This Row],[Eelarvekonto]],2)</f>
        <v>55</v>
      </c>
      <c r="E1159" s="42" t="str">
        <f>VLOOKUP(Table1[[#This Row],[Eelarvekonto]],Table5[[Konto]:[Konto nimetus]],2,FALSE)</f>
        <v>Administreerimiskulud</v>
      </c>
      <c r="F1159" s="42" t="s">
        <v>139</v>
      </c>
      <c r="G1159" s="42" t="s">
        <v>24</v>
      </c>
      <c r="H1159" s="42"/>
      <c r="I1159" s="42"/>
      <c r="J1159" s="42" t="s">
        <v>283</v>
      </c>
      <c r="K1159" s="42" t="s">
        <v>281</v>
      </c>
      <c r="L1159" s="81" t="s">
        <v>282</v>
      </c>
      <c r="M1159" s="82" t="str">
        <f>LEFT(Table1[[#This Row],[Tegevusala kood]],2)</f>
        <v>09</v>
      </c>
      <c r="N1159" s="53" t="str">
        <f>VLOOKUP(Table1[[#This Row],[Tegevusala kood]],Table4[[Tegevusala kood]:[Tegevusala alanimetus]],2,FALSE)</f>
        <v>Pajusti Lasteaed Ulvis</v>
      </c>
      <c r="O1159" s="42"/>
      <c r="P1159" s="42"/>
      <c r="Q1159" s="53" t="str">
        <f>VLOOKUP(Table1[[#This Row],[Eelarvekonto]],Table5[[Konto]:[Kontode alanimetus]],5,FALSE)</f>
        <v>Majandamiskulud</v>
      </c>
      <c r="R1159" s="53" t="str">
        <f>VLOOKUP(Table1[[#This Row],[Tegevusala kood]],Table4[[Tegevusala kood]:[Tegevusala alanimetus]],4,FALSE)</f>
        <v>Alusharidus</v>
      </c>
      <c r="S1159" s="53"/>
      <c r="T1159" s="53"/>
      <c r="U1159" s="53">
        <f>Table1[[#This Row],[Summa]]+Table1[[#This Row],[I Muudatus]]+Table1[[#This Row],[II Muudatus]]</f>
        <v>500</v>
      </c>
    </row>
    <row r="1160" spans="1:21" ht="14.25" hidden="1" customHeight="1" x14ac:dyDescent="0.25">
      <c r="A1160" s="42" t="s">
        <v>255</v>
      </c>
      <c r="B1160" s="42">
        <v>3107</v>
      </c>
      <c r="C1160" s="53">
        <v>5524</v>
      </c>
      <c r="D1160" s="53" t="str">
        <f>LEFT(Table1[[#This Row],[Eelarvekonto]],2)</f>
        <v>55</v>
      </c>
      <c r="E1160" s="42" t="str">
        <f>VLOOKUP(Table1[[#This Row],[Eelarvekonto]],Table5[[Konto]:[Konto nimetus]],2,FALSE)</f>
        <v>Õppevahendite ja koolituse kulud</v>
      </c>
      <c r="F1160" s="42" t="s">
        <v>139</v>
      </c>
      <c r="G1160" s="42" t="s">
        <v>24</v>
      </c>
      <c r="H1160" s="42"/>
      <c r="I1160" s="42"/>
      <c r="J1160" s="42" t="s">
        <v>283</v>
      </c>
      <c r="K1160" s="42" t="s">
        <v>281</v>
      </c>
      <c r="L1160" s="81" t="s">
        <v>282</v>
      </c>
      <c r="M1160" s="82" t="str">
        <f>LEFT(Table1[[#This Row],[Tegevusala kood]],2)</f>
        <v>09</v>
      </c>
      <c r="N1160" s="53" t="str">
        <f>VLOOKUP(Table1[[#This Row],[Tegevusala kood]],Table4[[Tegevusala kood]:[Tegevusala alanimetus]],2,FALSE)</f>
        <v>Pajusti Lasteaed Ulvis</v>
      </c>
      <c r="O1160" s="42"/>
      <c r="P1160" s="42"/>
      <c r="Q1160" s="53" t="str">
        <f>VLOOKUP(Table1[[#This Row],[Eelarvekonto]],Table5[[Konto]:[Kontode alanimetus]],5,FALSE)</f>
        <v>Majandamiskulud</v>
      </c>
      <c r="R1160" s="53" t="str">
        <f>VLOOKUP(Table1[[#This Row],[Tegevusala kood]],Table4[[Tegevusala kood]:[Tegevusala alanimetus]],4,FALSE)</f>
        <v>Alusharidus</v>
      </c>
      <c r="S1160" s="53"/>
      <c r="T1160" s="53"/>
      <c r="U1160" s="53">
        <f>Table1[[#This Row],[Summa]]+Table1[[#This Row],[I Muudatus]]+Table1[[#This Row],[II Muudatus]]</f>
        <v>3107</v>
      </c>
    </row>
    <row r="1161" spans="1:21" ht="14.25" hidden="1" customHeight="1" x14ac:dyDescent="0.25">
      <c r="A1161" s="42" t="s">
        <v>140</v>
      </c>
      <c r="B1161" s="42">
        <v>200</v>
      </c>
      <c r="C1161" s="53">
        <v>5504</v>
      </c>
      <c r="D1161" s="53" t="str">
        <f>LEFT(Table1[[#This Row],[Eelarvekonto]],2)</f>
        <v>55</v>
      </c>
      <c r="E1161" s="42" t="str">
        <f>VLOOKUP(Table1[[#This Row],[Eelarvekonto]],Table5[[Konto]:[Konto nimetus]],2,FALSE)</f>
        <v>Koolituskulud (sh koolituslähetus)</v>
      </c>
      <c r="F1161" s="42" t="s">
        <v>139</v>
      </c>
      <c r="G1161" s="42" t="s">
        <v>24</v>
      </c>
      <c r="H1161" s="42"/>
      <c r="I1161" s="42"/>
      <c r="J1161" s="42" t="s">
        <v>283</v>
      </c>
      <c r="K1161" s="42" t="s">
        <v>281</v>
      </c>
      <c r="L1161" s="81" t="s">
        <v>282</v>
      </c>
      <c r="M1161" s="82" t="str">
        <f>LEFT(Table1[[#This Row],[Tegevusala kood]],2)</f>
        <v>09</v>
      </c>
      <c r="N1161" s="53" t="str">
        <f>VLOOKUP(Table1[[#This Row],[Tegevusala kood]],Table4[[Tegevusala kood]:[Tegevusala alanimetus]],2,FALSE)</f>
        <v>Pajusti Lasteaed Ulvis</v>
      </c>
      <c r="O1161" s="42"/>
      <c r="P1161" s="42"/>
      <c r="Q1161" s="53" t="str">
        <f>VLOOKUP(Table1[[#This Row],[Eelarvekonto]],Table5[[Konto]:[Kontode alanimetus]],5,FALSE)</f>
        <v>Majandamiskulud</v>
      </c>
      <c r="R1161" s="53" t="str">
        <f>VLOOKUP(Table1[[#This Row],[Tegevusala kood]],Table4[[Tegevusala kood]:[Tegevusala alanimetus]],4,FALSE)</f>
        <v>Alusharidus</v>
      </c>
      <c r="S1161" s="53"/>
      <c r="T1161" s="53"/>
      <c r="U1161" s="53">
        <f>Table1[[#This Row],[Summa]]+Table1[[#This Row],[I Muudatus]]+Table1[[#This Row],[II Muudatus]]</f>
        <v>200</v>
      </c>
    </row>
    <row r="1162" spans="1:21" ht="14.25" hidden="1" customHeight="1" x14ac:dyDescent="0.25">
      <c r="A1162" s="42" t="s">
        <v>1301</v>
      </c>
      <c r="B1162" s="42">
        <v>15000</v>
      </c>
      <c r="C1162" s="53">
        <v>5525</v>
      </c>
      <c r="D1162" s="53" t="str">
        <f>LEFT(Table1[[#This Row],[Eelarvekonto]],2)</f>
        <v>55</v>
      </c>
      <c r="E1162" s="42" t="str">
        <f>VLOOKUP(Table1[[#This Row],[Eelarvekonto]],Table5[[Konto]:[Konto nimetus]],2,FALSE)</f>
        <v>Kommunikatsiooni-, kultuuri- ja vaba aja sisustamise kulud</v>
      </c>
      <c r="F1162" s="42" t="s">
        <v>139</v>
      </c>
      <c r="G1162" s="42" t="s">
        <v>24</v>
      </c>
      <c r="H1162" s="42"/>
      <c r="I1162" s="42"/>
      <c r="J1162" s="42" t="s">
        <v>342</v>
      </c>
      <c r="K1162" s="42" t="s">
        <v>341</v>
      </c>
      <c r="L1162" s="81" t="s">
        <v>347</v>
      </c>
      <c r="M1162" s="82" t="str">
        <f>LEFT(Table1[[#This Row],[Tegevusala kood]],2)</f>
        <v>09</v>
      </c>
      <c r="N1162" s="53" t="str">
        <f>VLOOKUP(Table1[[#This Row],[Tegevusala kood]],Table4[[Tegevusala kood]:[Tegevusala alanimetus]],2,FALSE)</f>
        <v>Üritused</v>
      </c>
      <c r="O1162" s="42"/>
      <c r="P1162" s="42"/>
      <c r="Q1162" s="53" t="str">
        <f>VLOOKUP(Table1[[#This Row],[Eelarvekonto]],Table5[[Konto]:[Kontode alanimetus]],5,FALSE)</f>
        <v>Majandamiskulud</v>
      </c>
      <c r="R1162" s="53" t="str">
        <f>VLOOKUP(Table1[[#This Row],[Tegevusala kood]],Table4[[Tegevusala kood]:[Tegevusala alanimetus]],4,FALSE)</f>
        <v>Muu haridus, sh hariduse haldus</v>
      </c>
      <c r="S1162" s="53"/>
      <c r="T1162" s="53"/>
      <c r="U1162" s="53">
        <f>Table1[[#This Row],[Summa]]+Table1[[#This Row],[I Muudatus]]+Table1[[#This Row],[II Muudatus]]</f>
        <v>15000</v>
      </c>
    </row>
    <row r="1163" spans="1:21" ht="14.25" hidden="1" customHeight="1" x14ac:dyDescent="0.25">
      <c r="A1163" s="42" t="s">
        <v>349</v>
      </c>
      <c r="B1163" s="42">
        <v>10000</v>
      </c>
      <c r="C1163" s="53">
        <v>5524</v>
      </c>
      <c r="D1163" s="53" t="str">
        <f>LEFT(Table1[[#This Row],[Eelarvekonto]],2)</f>
        <v>55</v>
      </c>
      <c r="E1163" s="42" t="str">
        <f>VLOOKUP(Table1[[#This Row],[Eelarvekonto]],Table5[[Konto]:[Konto nimetus]],2,FALSE)</f>
        <v>Õppevahendite ja koolituse kulud</v>
      </c>
      <c r="F1163" s="42" t="s">
        <v>139</v>
      </c>
      <c r="G1163" s="42" t="s">
        <v>24</v>
      </c>
      <c r="H1163" s="42"/>
      <c r="I1163" s="42"/>
      <c r="J1163" s="42" t="s">
        <v>342</v>
      </c>
      <c r="K1163" s="42" t="s">
        <v>341</v>
      </c>
      <c r="L1163" s="81" t="s">
        <v>347</v>
      </c>
      <c r="M1163" s="82" t="str">
        <f>LEFT(Table1[[#This Row],[Tegevusala kood]],2)</f>
        <v>09</v>
      </c>
      <c r="N1163" s="53" t="str">
        <f>VLOOKUP(Table1[[#This Row],[Tegevusala kood]],Table4[[Tegevusala kood]:[Tegevusala alanimetus]],2,FALSE)</f>
        <v>Üritused</v>
      </c>
      <c r="O1163" s="42"/>
      <c r="P1163" s="42"/>
      <c r="Q1163" s="53" t="str">
        <f>VLOOKUP(Table1[[#This Row],[Eelarvekonto]],Table5[[Konto]:[Kontode alanimetus]],5,FALSE)</f>
        <v>Majandamiskulud</v>
      </c>
      <c r="R1163" s="53" t="str">
        <f>VLOOKUP(Table1[[#This Row],[Tegevusala kood]],Table4[[Tegevusala kood]:[Tegevusala alanimetus]],4,FALSE)</f>
        <v>Muu haridus, sh hariduse haldus</v>
      </c>
      <c r="S1163" s="53"/>
      <c r="T1163" s="53"/>
      <c r="U1163" s="53">
        <f>Table1[[#This Row],[Summa]]+Table1[[#This Row],[I Muudatus]]+Table1[[#This Row],[II Muudatus]]</f>
        <v>10000</v>
      </c>
    </row>
    <row r="1164" spans="1:21" ht="14.25" hidden="1" customHeight="1" x14ac:dyDescent="0.25">
      <c r="A1164" s="42" t="s">
        <v>348</v>
      </c>
      <c r="B1164" s="42">
        <v>17600</v>
      </c>
      <c r="C1164" s="53">
        <v>5525</v>
      </c>
      <c r="D1164" s="53" t="str">
        <f>LEFT(Table1[[#This Row],[Eelarvekonto]],2)</f>
        <v>55</v>
      </c>
      <c r="E1164" s="42" t="str">
        <f>VLOOKUP(Table1[[#This Row],[Eelarvekonto]],Table5[[Konto]:[Konto nimetus]],2,FALSE)</f>
        <v>Kommunikatsiooni-, kultuuri- ja vaba aja sisustamise kulud</v>
      </c>
      <c r="F1164" s="42" t="s">
        <v>139</v>
      </c>
      <c r="G1164" s="42" t="s">
        <v>24</v>
      </c>
      <c r="H1164" s="42"/>
      <c r="I1164" s="42"/>
      <c r="J1164" s="42" t="s">
        <v>342</v>
      </c>
      <c r="K1164" s="42" t="s">
        <v>341</v>
      </c>
      <c r="L1164" s="81" t="s">
        <v>347</v>
      </c>
      <c r="M1164" s="82" t="str">
        <f>LEFT(Table1[[#This Row],[Tegevusala kood]],2)</f>
        <v>09</v>
      </c>
      <c r="N1164" s="53" t="str">
        <f>VLOOKUP(Table1[[#This Row],[Tegevusala kood]],Table4[[Tegevusala kood]:[Tegevusala alanimetus]],2,FALSE)</f>
        <v>Üritused</v>
      </c>
      <c r="O1164" s="42"/>
      <c r="P1164" s="42"/>
      <c r="Q1164" s="53" t="str">
        <f>VLOOKUP(Table1[[#This Row],[Eelarvekonto]],Table5[[Konto]:[Kontode alanimetus]],5,FALSE)</f>
        <v>Majandamiskulud</v>
      </c>
      <c r="R1164" s="53" t="str">
        <f>VLOOKUP(Table1[[#This Row],[Tegevusala kood]],Table4[[Tegevusala kood]:[Tegevusala alanimetus]],4,FALSE)</f>
        <v>Muu haridus, sh hariduse haldus</v>
      </c>
      <c r="S1164" s="53"/>
      <c r="T1164" s="53"/>
      <c r="U1164" s="53">
        <f>Table1[[#This Row],[Summa]]+Table1[[#This Row],[I Muudatus]]+Table1[[#This Row],[II Muudatus]]</f>
        <v>17600</v>
      </c>
    </row>
    <row r="1165" spans="1:21" ht="14.25" hidden="1" customHeight="1" x14ac:dyDescent="0.25">
      <c r="A1165" s="42" t="s">
        <v>1302</v>
      </c>
      <c r="B1165" s="42">
        <v>194378.88</v>
      </c>
      <c r="C1165" s="53">
        <v>5524</v>
      </c>
      <c r="D1165" s="53" t="str">
        <f>LEFT(Table1[[#This Row],[Eelarvekonto]],2)</f>
        <v>55</v>
      </c>
      <c r="E1165" s="42" t="str">
        <f>VLOOKUP(Table1[[#This Row],[Eelarvekonto]],Table5[[Konto]:[Konto nimetus]],2,FALSE)</f>
        <v>Õppevahendite ja koolituse kulud</v>
      </c>
      <c r="F1165" s="42" t="s">
        <v>139</v>
      </c>
      <c r="G1165" s="42" t="s">
        <v>24</v>
      </c>
      <c r="H1165" s="42"/>
      <c r="I1165" s="42"/>
      <c r="J1165" s="42" t="s">
        <v>342</v>
      </c>
      <c r="K1165" s="42" t="s">
        <v>341</v>
      </c>
      <c r="L1165" s="81" t="s">
        <v>360</v>
      </c>
      <c r="M1165" s="82" t="str">
        <f>LEFT(Table1[[#This Row],[Tegevusala kood]],2)</f>
        <v>09</v>
      </c>
      <c r="N1165" s="53" t="str">
        <f>VLOOKUP(Table1[[#This Row],[Tegevusala kood]],Table4[[Tegevusala kood]:[Tegevusala alanimetus]],2,FALSE)</f>
        <v>Kohatasud</v>
      </c>
      <c r="O1165" s="42"/>
      <c r="P1165" s="42"/>
      <c r="Q1165" s="53" t="str">
        <f>VLOOKUP(Table1[[#This Row],[Eelarvekonto]],Table5[[Konto]:[Kontode alanimetus]],5,FALSE)</f>
        <v>Majandamiskulud</v>
      </c>
      <c r="R1165" s="53" t="str">
        <f>VLOOKUP(Table1[[#This Row],[Tegevusala kood]],Table4[[Tegevusala kood]:[Tegevusala alanimetus]],4,FALSE)</f>
        <v>Põhihariduse otsekulud</v>
      </c>
      <c r="S1165" s="53"/>
      <c r="T1165" s="53"/>
      <c r="U1165" s="53">
        <f>Table1[[#This Row],[Summa]]+Table1[[#This Row],[I Muudatus]]+Table1[[#This Row],[II Muudatus]]</f>
        <v>194378.88</v>
      </c>
    </row>
    <row r="1166" spans="1:21" ht="14.25" hidden="1" customHeight="1" x14ac:dyDescent="0.25">
      <c r="A1166" s="42" t="s">
        <v>1303</v>
      </c>
      <c r="B1166" s="42">
        <v>52304</v>
      </c>
      <c r="C1166" s="53">
        <v>5524</v>
      </c>
      <c r="D1166" s="53" t="str">
        <f>LEFT(Table1[[#This Row],[Eelarvekonto]],2)</f>
        <v>55</v>
      </c>
      <c r="E1166" s="42" t="str">
        <f>VLOOKUP(Table1[[#This Row],[Eelarvekonto]],Table5[[Konto]:[Konto nimetus]],2,FALSE)</f>
        <v>Õppevahendite ja koolituse kulud</v>
      </c>
      <c r="F1166" s="42" t="s">
        <v>139</v>
      </c>
      <c r="G1166" s="42" t="s">
        <v>24</v>
      </c>
      <c r="H1166" s="42"/>
      <c r="I1166" s="42"/>
      <c r="J1166" s="42" t="s">
        <v>342</v>
      </c>
      <c r="K1166" s="42" t="s">
        <v>341</v>
      </c>
      <c r="L1166" s="81" t="s">
        <v>362</v>
      </c>
      <c r="M1166" s="82" t="str">
        <f>LEFT(Table1[[#This Row],[Tegevusala kood]],2)</f>
        <v>09</v>
      </c>
      <c r="N1166" s="53" t="str">
        <f>VLOOKUP(Table1[[#This Row],[Tegevusala kood]],Table4[[Tegevusala kood]:[Tegevusala alanimetus]],2,FALSE)</f>
        <v>Kohatasud</v>
      </c>
      <c r="O1166" s="42"/>
      <c r="P1166" s="42"/>
      <c r="Q1166" s="53" t="str">
        <f>VLOOKUP(Table1[[#This Row],[Eelarvekonto]],Table5[[Konto]:[Kontode alanimetus]],5,FALSE)</f>
        <v>Majandamiskulud</v>
      </c>
      <c r="R1166" s="53" t="str">
        <f>VLOOKUP(Table1[[#This Row],[Tegevusala kood]],Table4[[Tegevusala kood]:[Tegevusala alanimetus]],4,FALSE)</f>
        <v>Alusharidus</v>
      </c>
      <c r="S1166" s="53"/>
      <c r="T1166" s="53"/>
      <c r="U1166" s="53">
        <f>Table1[[#This Row],[Summa]]+Table1[[#This Row],[I Muudatus]]+Table1[[#This Row],[II Muudatus]]</f>
        <v>52304</v>
      </c>
    </row>
    <row r="1167" spans="1:21" ht="14.25" hidden="1" customHeight="1" x14ac:dyDescent="0.25">
      <c r="A1167" s="42" t="s">
        <v>370</v>
      </c>
      <c r="B1167" s="42">
        <v>1500</v>
      </c>
      <c r="C1167" s="53">
        <v>4138</v>
      </c>
      <c r="D1167" s="53" t="str">
        <f>LEFT(Table1[[#This Row],[Eelarvekonto]],2)</f>
        <v>41</v>
      </c>
      <c r="E1167" s="42" t="str">
        <f>VLOOKUP(Table1[[#This Row],[Eelarvekonto]],Table5[[Konto]:[Konto nimetus]],2,FALSE)</f>
        <v>Muud sotsiaalabitoetused</v>
      </c>
      <c r="F1167" s="42" t="s">
        <v>139</v>
      </c>
      <c r="G1167" s="42" t="s">
        <v>24</v>
      </c>
      <c r="H1167" s="42"/>
      <c r="I1167" s="42"/>
      <c r="J1167" s="42" t="s">
        <v>365</v>
      </c>
      <c r="K1167" s="42" t="s">
        <v>364</v>
      </c>
      <c r="L1167" s="81" t="s">
        <v>366</v>
      </c>
      <c r="M1167" s="82" t="str">
        <f>LEFT(Table1[[#This Row],[Tegevusala kood]],2)</f>
        <v>10</v>
      </c>
      <c r="N1167" s="53" t="str">
        <f>VLOOKUP(Table1[[#This Row],[Tegevusala kood]],Table4[[Tegevusala kood]:[Tegevusala alanimetus]],2,FALSE)</f>
        <v>Muu sotsiaalsete riskirühmade kaitse</v>
      </c>
      <c r="O1167" s="42"/>
      <c r="P1167" s="42"/>
      <c r="Q1167" s="53" t="str">
        <f>VLOOKUP(Table1[[#This Row],[Eelarvekonto]],Table5[[Konto]:[Kontode alanimetus]],5,FALSE)</f>
        <v>Sotsiaalabitoetused ja muud toetused füüsilistele isikutele</v>
      </c>
      <c r="R1167" s="53" t="str">
        <f>VLOOKUP(Table1[[#This Row],[Tegevusala kood]],Table4[[Tegevusala kood]:[Tegevusala alanimetus]],4,FALSE)</f>
        <v>Muu sotsiaalsete riskirühmade kaitse</v>
      </c>
      <c r="S1167" s="53"/>
      <c r="T1167" s="53"/>
      <c r="U1167" s="53">
        <f>Table1[[#This Row],[Summa]]+Table1[[#This Row],[I Muudatus]]+Table1[[#This Row],[II Muudatus]]</f>
        <v>1500</v>
      </c>
    </row>
    <row r="1168" spans="1:21" ht="14.25" hidden="1" customHeight="1" x14ac:dyDescent="0.25">
      <c r="A1168" s="42" t="s">
        <v>369</v>
      </c>
      <c r="B1168" s="42">
        <v>300</v>
      </c>
      <c r="C1168" s="53">
        <v>4138</v>
      </c>
      <c r="D1168" s="53" t="str">
        <f>LEFT(Table1[[#This Row],[Eelarvekonto]],2)</f>
        <v>41</v>
      </c>
      <c r="E1168" s="42" t="str">
        <f>VLOOKUP(Table1[[#This Row],[Eelarvekonto]],Table5[[Konto]:[Konto nimetus]],2,FALSE)</f>
        <v>Muud sotsiaalabitoetused</v>
      </c>
      <c r="F1168" s="42" t="s">
        <v>139</v>
      </c>
      <c r="G1168" s="42" t="s">
        <v>24</v>
      </c>
      <c r="H1168" s="42"/>
      <c r="I1168" s="42"/>
      <c r="J1168" s="42" t="s">
        <v>365</v>
      </c>
      <c r="K1168" s="42" t="s">
        <v>364</v>
      </c>
      <c r="L1168" s="81" t="s">
        <v>366</v>
      </c>
      <c r="M1168" s="82" t="str">
        <f>LEFT(Table1[[#This Row],[Tegevusala kood]],2)</f>
        <v>10</v>
      </c>
      <c r="N1168" s="53" t="str">
        <f>VLOOKUP(Table1[[#This Row],[Tegevusala kood]],Table4[[Tegevusala kood]:[Tegevusala alanimetus]],2,FALSE)</f>
        <v>Muu sotsiaalsete riskirühmade kaitse</v>
      </c>
      <c r="O1168" s="42"/>
      <c r="P1168" s="42"/>
      <c r="Q1168" s="53" t="str">
        <f>VLOOKUP(Table1[[#This Row],[Eelarvekonto]],Table5[[Konto]:[Kontode alanimetus]],5,FALSE)</f>
        <v>Sotsiaalabitoetused ja muud toetused füüsilistele isikutele</v>
      </c>
      <c r="R1168" s="53" t="str">
        <f>VLOOKUP(Table1[[#This Row],[Tegevusala kood]],Table4[[Tegevusala kood]:[Tegevusala alanimetus]],4,FALSE)</f>
        <v>Muu sotsiaalsete riskirühmade kaitse</v>
      </c>
      <c r="S1168" s="53"/>
      <c r="T1168" s="53"/>
      <c r="U1168" s="53">
        <f>Table1[[#This Row],[Summa]]+Table1[[#This Row],[I Muudatus]]+Table1[[#This Row],[II Muudatus]]</f>
        <v>300</v>
      </c>
    </row>
    <row r="1169" spans="1:21" ht="14.25" hidden="1" customHeight="1" x14ac:dyDescent="0.25">
      <c r="A1169" s="42" t="s">
        <v>368</v>
      </c>
      <c r="B1169" s="42">
        <v>10000</v>
      </c>
      <c r="C1169" s="53">
        <v>4138</v>
      </c>
      <c r="D1169" s="53" t="str">
        <f>LEFT(Table1[[#This Row],[Eelarvekonto]],2)</f>
        <v>41</v>
      </c>
      <c r="E1169" s="42" t="str">
        <f>VLOOKUP(Table1[[#This Row],[Eelarvekonto]],Table5[[Konto]:[Konto nimetus]],2,FALSE)</f>
        <v>Muud sotsiaalabitoetused</v>
      </c>
      <c r="F1169" s="42" t="s">
        <v>139</v>
      </c>
      <c r="G1169" s="42" t="s">
        <v>24</v>
      </c>
      <c r="H1169" s="42"/>
      <c r="I1169" s="42"/>
      <c r="J1169" s="42" t="s">
        <v>365</v>
      </c>
      <c r="K1169" s="42" t="s">
        <v>364</v>
      </c>
      <c r="L1169" s="81" t="s">
        <v>366</v>
      </c>
      <c r="M1169" s="82" t="str">
        <f>LEFT(Table1[[#This Row],[Tegevusala kood]],2)</f>
        <v>10</v>
      </c>
      <c r="N1169" s="53" t="str">
        <f>VLOOKUP(Table1[[#This Row],[Tegevusala kood]],Table4[[Tegevusala kood]:[Tegevusala alanimetus]],2,FALSE)</f>
        <v>Muu sotsiaalsete riskirühmade kaitse</v>
      </c>
      <c r="O1169" s="42"/>
      <c r="P1169" s="42"/>
      <c r="Q1169" s="53" t="str">
        <f>VLOOKUP(Table1[[#This Row],[Eelarvekonto]],Table5[[Konto]:[Kontode alanimetus]],5,FALSE)</f>
        <v>Sotsiaalabitoetused ja muud toetused füüsilistele isikutele</v>
      </c>
      <c r="R1169" s="53" t="str">
        <f>VLOOKUP(Table1[[#This Row],[Tegevusala kood]],Table4[[Tegevusala kood]:[Tegevusala alanimetus]],4,FALSE)</f>
        <v>Muu sotsiaalsete riskirühmade kaitse</v>
      </c>
      <c r="S1169" s="53"/>
      <c r="T1169" s="53"/>
      <c r="U1169" s="53">
        <f>Table1[[#This Row],[Summa]]+Table1[[#This Row],[I Muudatus]]+Table1[[#This Row],[II Muudatus]]</f>
        <v>10000</v>
      </c>
    </row>
    <row r="1170" spans="1:21" ht="14.25" hidden="1" customHeight="1" x14ac:dyDescent="0.25">
      <c r="A1170" s="42" t="s">
        <v>367</v>
      </c>
      <c r="B1170" s="42">
        <v>4500</v>
      </c>
      <c r="C1170" s="53">
        <v>4138</v>
      </c>
      <c r="D1170" s="53" t="str">
        <f>LEFT(Table1[[#This Row],[Eelarvekonto]],2)</f>
        <v>41</v>
      </c>
      <c r="E1170" s="42" t="str">
        <f>VLOOKUP(Table1[[#This Row],[Eelarvekonto]],Table5[[Konto]:[Konto nimetus]],2,FALSE)</f>
        <v>Muud sotsiaalabitoetused</v>
      </c>
      <c r="F1170" s="42" t="s">
        <v>139</v>
      </c>
      <c r="G1170" s="42" t="s">
        <v>24</v>
      </c>
      <c r="H1170" s="42"/>
      <c r="I1170" s="42"/>
      <c r="J1170" s="42" t="s">
        <v>365</v>
      </c>
      <c r="K1170" s="42" t="s">
        <v>364</v>
      </c>
      <c r="L1170" s="81" t="s">
        <v>366</v>
      </c>
      <c r="M1170" s="82" t="str">
        <f>LEFT(Table1[[#This Row],[Tegevusala kood]],2)</f>
        <v>10</v>
      </c>
      <c r="N1170" s="53" t="str">
        <f>VLOOKUP(Table1[[#This Row],[Tegevusala kood]],Table4[[Tegevusala kood]:[Tegevusala alanimetus]],2,FALSE)</f>
        <v>Muu sotsiaalsete riskirühmade kaitse</v>
      </c>
      <c r="O1170" s="42"/>
      <c r="P1170" s="42"/>
      <c r="Q1170" s="53" t="str">
        <f>VLOOKUP(Table1[[#This Row],[Eelarvekonto]],Table5[[Konto]:[Kontode alanimetus]],5,FALSE)</f>
        <v>Sotsiaalabitoetused ja muud toetused füüsilistele isikutele</v>
      </c>
      <c r="R1170" s="53" t="str">
        <f>VLOOKUP(Table1[[#This Row],[Tegevusala kood]],Table4[[Tegevusala kood]:[Tegevusala alanimetus]],4,FALSE)</f>
        <v>Muu sotsiaalsete riskirühmade kaitse</v>
      </c>
      <c r="S1170" s="53"/>
      <c r="T1170" s="53"/>
      <c r="U1170" s="53">
        <f>Table1[[#This Row],[Summa]]+Table1[[#This Row],[I Muudatus]]+Table1[[#This Row],[II Muudatus]]</f>
        <v>4500</v>
      </c>
    </row>
    <row r="1171" spans="1:21" ht="14.25" hidden="1" customHeight="1" x14ac:dyDescent="0.25">
      <c r="A1171" s="42" t="s">
        <v>195</v>
      </c>
      <c r="B1171" s="42">
        <v>480</v>
      </c>
      <c r="C1171" s="53">
        <v>5511</v>
      </c>
      <c r="D1171" s="53" t="str">
        <f>LEFT(Table1[[#This Row],[Eelarvekonto]],2)</f>
        <v>55</v>
      </c>
      <c r="E1171" s="42" t="str">
        <f>VLOOKUP(Table1[[#This Row],[Eelarvekonto]],Table5[[Konto]:[Konto nimetus]],2,FALSE)</f>
        <v>Kinnistute, hoonete ja ruumide majandamiskulud</v>
      </c>
      <c r="F1171" s="42" t="s">
        <v>139</v>
      </c>
      <c r="G1171" s="42" t="s">
        <v>24</v>
      </c>
      <c r="H1171" s="42"/>
      <c r="I1171" s="42"/>
      <c r="J1171" s="42" t="s">
        <v>206</v>
      </c>
      <c r="K1171" s="42" t="s">
        <v>204</v>
      </c>
      <c r="L1171" s="81" t="s">
        <v>205</v>
      </c>
      <c r="M1171" s="82" t="str">
        <f>LEFT(Table1[[#This Row],[Tegevusala kood]],2)</f>
        <v>08</v>
      </c>
      <c r="N1171" s="53" t="str">
        <f>VLOOKUP(Table1[[#This Row],[Tegevusala kood]],Table4[[Tegevusala kood]:[Tegevusala alanimetus]],2,FALSE)</f>
        <v>Roela Rahvamaja</v>
      </c>
      <c r="O1171" s="42"/>
      <c r="P1171" s="42"/>
      <c r="Q1171" s="53" t="str">
        <f>VLOOKUP(Table1[[#This Row],[Eelarvekonto]],Table5[[Konto]:[Kontode alanimetus]],5,FALSE)</f>
        <v>Majandamiskulud</v>
      </c>
      <c r="R1171" s="53" t="str">
        <f>VLOOKUP(Table1[[#This Row],[Tegevusala kood]],Table4[[Tegevusala kood]:[Tegevusala alanimetus]],4,FALSE)</f>
        <v>Rahvakultuur</v>
      </c>
      <c r="S1171" s="53"/>
      <c r="T1171" s="53"/>
      <c r="U1171" s="53">
        <f>Table1[[#This Row],[Summa]]+Table1[[#This Row],[I Muudatus]]+Table1[[#This Row],[II Muudatus]]</f>
        <v>480</v>
      </c>
    </row>
    <row r="1172" spans="1:21" ht="14.25" hidden="1" customHeight="1" x14ac:dyDescent="0.25">
      <c r="A1172" s="42" t="s">
        <v>208</v>
      </c>
      <c r="B1172" s="42">
        <v>390</v>
      </c>
      <c r="C1172" s="53">
        <v>5500</v>
      </c>
      <c r="D1172" s="53" t="str">
        <f>LEFT(Table1[[#This Row],[Eelarvekonto]],2)</f>
        <v>55</v>
      </c>
      <c r="E1172" s="42" t="str">
        <f>VLOOKUP(Table1[[#This Row],[Eelarvekonto]],Table5[[Konto]:[Konto nimetus]],2,FALSE)</f>
        <v>Administreerimiskulud</v>
      </c>
      <c r="F1172" s="42" t="s">
        <v>139</v>
      </c>
      <c r="G1172" s="42" t="s">
        <v>24</v>
      </c>
      <c r="H1172" s="42"/>
      <c r="I1172" s="42"/>
      <c r="J1172" s="42" t="s">
        <v>206</v>
      </c>
      <c r="K1172" s="42" t="s">
        <v>204</v>
      </c>
      <c r="L1172" s="81" t="s">
        <v>205</v>
      </c>
      <c r="M1172" s="82" t="str">
        <f>LEFT(Table1[[#This Row],[Tegevusala kood]],2)</f>
        <v>08</v>
      </c>
      <c r="N1172" s="53" t="str">
        <f>VLOOKUP(Table1[[#This Row],[Tegevusala kood]],Table4[[Tegevusala kood]:[Tegevusala alanimetus]],2,FALSE)</f>
        <v>Roela Rahvamaja</v>
      </c>
      <c r="O1172" s="42"/>
      <c r="P1172" s="42"/>
      <c r="Q1172" s="53" t="str">
        <f>VLOOKUP(Table1[[#This Row],[Eelarvekonto]],Table5[[Konto]:[Kontode alanimetus]],5,FALSE)</f>
        <v>Majandamiskulud</v>
      </c>
      <c r="R1172" s="53" t="str">
        <f>VLOOKUP(Table1[[#This Row],[Tegevusala kood]],Table4[[Tegevusala kood]:[Tegevusala alanimetus]],4,FALSE)</f>
        <v>Rahvakultuur</v>
      </c>
      <c r="S1172" s="53"/>
      <c r="T1172" s="53"/>
      <c r="U1172" s="53">
        <f>Table1[[#This Row],[Summa]]+Table1[[#This Row],[I Muudatus]]+Table1[[#This Row],[II Muudatus]]</f>
        <v>390</v>
      </c>
    </row>
    <row r="1173" spans="1:21" ht="14.25" hidden="1" customHeight="1" x14ac:dyDescent="0.25">
      <c r="A1173" s="42" t="s">
        <v>151</v>
      </c>
      <c r="B1173" s="42">
        <v>100</v>
      </c>
      <c r="C1173" s="53">
        <v>5522</v>
      </c>
      <c r="D1173" s="53" t="str">
        <f>LEFT(Table1[[#This Row],[Eelarvekonto]],2)</f>
        <v>55</v>
      </c>
      <c r="E1173" s="42" t="str">
        <f>VLOOKUP(Table1[[#This Row],[Eelarvekonto]],Table5[[Konto]:[Konto nimetus]],2,FALSE)</f>
        <v>Meditsiinikulud ja hügieenikulud</v>
      </c>
      <c r="F1173" s="42" t="s">
        <v>139</v>
      </c>
      <c r="G1173" s="42" t="s">
        <v>24</v>
      </c>
      <c r="H1173" s="42"/>
      <c r="I1173" s="42"/>
      <c r="J1173" s="42" t="s">
        <v>206</v>
      </c>
      <c r="K1173" s="42" t="s">
        <v>204</v>
      </c>
      <c r="L1173" s="81" t="s">
        <v>205</v>
      </c>
      <c r="M1173" s="82" t="str">
        <f>LEFT(Table1[[#This Row],[Tegevusala kood]],2)</f>
        <v>08</v>
      </c>
      <c r="N1173" s="53" t="str">
        <f>VLOOKUP(Table1[[#This Row],[Tegevusala kood]],Table4[[Tegevusala kood]:[Tegevusala alanimetus]],2,FALSE)</f>
        <v>Roela Rahvamaja</v>
      </c>
      <c r="O1173" s="42"/>
      <c r="P1173" s="42"/>
      <c r="Q1173" s="53" t="str">
        <f>VLOOKUP(Table1[[#This Row],[Eelarvekonto]],Table5[[Konto]:[Kontode alanimetus]],5,FALSE)</f>
        <v>Majandamiskulud</v>
      </c>
      <c r="R1173" s="53" t="str">
        <f>VLOOKUP(Table1[[#This Row],[Tegevusala kood]],Table4[[Tegevusala kood]:[Tegevusala alanimetus]],4,FALSE)</f>
        <v>Rahvakultuur</v>
      </c>
      <c r="S1173" s="53"/>
      <c r="T1173" s="53"/>
      <c r="U1173" s="53">
        <f>Table1[[#This Row],[Summa]]+Table1[[#This Row],[I Muudatus]]+Table1[[#This Row],[II Muudatus]]</f>
        <v>100</v>
      </c>
    </row>
    <row r="1174" spans="1:21" ht="14.25" hidden="1" customHeight="1" x14ac:dyDescent="0.25">
      <c r="A1174" s="42" t="s">
        <v>203</v>
      </c>
      <c r="B1174" s="42">
        <v>660</v>
      </c>
      <c r="C1174" s="53">
        <v>5525</v>
      </c>
      <c r="D1174" s="53" t="str">
        <f>LEFT(Table1[[#This Row],[Eelarvekonto]],2)</f>
        <v>55</v>
      </c>
      <c r="E1174" s="42" t="str">
        <f>VLOOKUP(Table1[[#This Row],[Eelarvekonto]],Table5[[Konto]:[Konto nimetus]],2,FALSE)</f>
        <v>Kommunikatsiooni-, kultuuri- ja vaba aja sisustamise kulud</v>
      </c>
      <c r="F1174" s="42" t="s">
        <v>139</v>
      </c>
      <c r="G1174" s="42" t="s">
        <v>24</v>
      </c>
      <c r="H1174" s="42"/>
      <c r="I1174" s="42"/>
      <c r="J1174" s="42" t="s">
        <v>206</v>
      </c>
      <c r="K1174" s="42" t="s">
        <v>204</v>
      </c>
      <c r="L1174" s="81" t="s">
        <v>205</v>
      </c>
      <c r="M1174" s="82" t="str">
        <f>LEFT(Table1[[#This Row],[Tegevusala kood]],2)</f>
        <v>08</v>
      </c>
      <c r="N1174" s="53" t="str">
        <f>VLOOKUP(Table1[[#This Row],[Tegevusala kood]],Table4[[Tegevusala kood]:[Tegevusala alanimetus]],2,FALSE)</f>
        <v>Roela Rahvamaja</v>
      </c>
      <c r="O1174" s="42"/>
      <c r="P1174" s="42"/>
      <c r="Q1174" s="53" t="str">
        <f>VLOOKUP(Table1[[#This Row],[Eelarvekonto]],Table5[[Konto]:[Kontode alanimetus]],5,FALSE)</f>
        <v>Majandamiskulud</v>
      </c>
      <c r="R1174" s="53" t="str">
        <f>VLOOKUP(Table1[[#This Row],[Tegevusala kood]],Table4[[Tegevusala kood]:[Tegevusala alanimetus]],4,FALSE)</f>
        <v>Rahvakultuur</v>
      </c>
      <c r="S1174" s="53"/>
      <c r="T1174" s="53"/>
      <c r="U1174" s="53">
        <f>Table1[[#This Row],[Summa]]+Table1[[#This Row],[I Muudatus]]+Table1[[#This Row],[II Muudatus]]</f>
        <v>660</v>
      </c>
    </row>
    <row r="1175" spans="1:21" ht="14.25" hidden="1" customHeight="1" x14ac:dyDescent="0.25">
      <c r="A1175" s="42" t="s">
        <v>457</v>
      </c>
      <c r="B1175" s="42">
        <v>528</v>
      </c>
      <c r="C1175" s="53">
        <v>5513081</v>
      </c>
      <c r="D1175" s="53" t="str">
        <f>LEFT(Table1[[#This Row],[Eelarvekonto]],2)</f>
        <v>55</v>
      </c>
      <c r="E1175" s="42" t="str">
        <f>VLOOKUP(Table1[[#This Row],[Eelarvekonto]],Table5[[Konto]:[Konto nimetus]],2,FALSE)</f>
        <v>Isikliku sõiduauto kompensatsioon</v>
      </c>
      <c r="F1175" s="42" t="s">
        <v>139</v>
      </c>
      <c r="G1175" s="42" t="s">
        <v>24</v>
      </c>
      <c r="H1175" s="42"/>
      <c r="I1175" s="42"/>
      <c r="J1175" s="42" t="s">
        <v>206</v>
      </c>
      <c r="K1175" s="42" t="s">
        <v>204</v>
      </c>
      <c r="L1175" s="81" t="s">
        <v>205</v>
      </c>
      <c r="M1175" s="82" t="str">
        <f>LEFT(Table1[[#This Row],[Tegevusala kood]],2)</f>
        <v>08</v>
      </c>
      <c r="N1175" s="53" t="str">
        <f>VLOOKUP(Table1[[#This Row],[Tegevusala kood]],Table4[[Tegevusala kood]:[Tegevusala alanimetus]],2,FALSE)</f>
        <v>Roela Rahvamaja</v>
      </c>
      <c r="O1175" s="42"/>
      <c r="P1175" s="42"/>
      <c r="Q1175" s="53" t="str">
        <f>VLOOKUP(Table1[[#This Row],[Eelarvekonto]],Table5[[Konto]:[Kontode alanimetus]],5,FALSE)</f>
        <v>Majandamiskulud</v>
      </c>
      <c r="R1175" s="53" t="str">
        <f>VLOOKUP(Table1[[#This Row],[Tegevusala kood]],Table4[[Tegevusala kood]:[Tegevusala alanimetus]],4,FALSE)</f>
        <v>Rahvakultuur</v>
      </c>
      <c r="S1175" s="53"/>
      <c r="T1175" s="53"/>
      <c r="U1175" s="53">
        <f>Table1[[#This Row],[Summa]]+Table1[[#This Row],[I Muudatus]]+Table1[[#This Row],[II Muudatus]]</f>
        <v>528</v>
      </c>
    </row>
    <row r="1176" spans="1:21" ht="14.25" hidden="1" customHeight="1" x14ac:dyDescent="0.25">
      <c r="A1176" s="42" t="s">
        <v>209</v>
      </c>
      <c r="B1176" s="42">
        <v>1065</v>
      </c>
      <c r="C1176" s="53">
        <v>5515</v>
      </c>
      <c r="D1176" s="53" t="str">
        <f>LEFT(Table1[[#This Row],[Eelarvekonto]],2)</f>
        <v>55</v>
      </c>
      <c r="E1176" s="42" t="str">
        <f>VLOOKUP(Table1[[#This Row],[Eelarvekonto]],Table5[[Konto]:[Konto nimetus]],2,FALSE)</f>
        <v>Inventari majandamiskulud</v>
      </c>
      <c r="F1176" s="42" t="s">
        <v>139</v>
      </c>
      <c r="G1176" s="42" t="s">
        <v>24</v>
      </c>
      <c r="H1176" s="42"/>
      <c r="I1176" s="42"/>
      <c r="J1176" s="42" t="s">
        <v>206</v>
      </c>
      <c r="K1176" s="42" t="s">
        <v>204</v>
      </c>
      <c r="L1176" s="81" t="s">
        <v>205</v>
      </c>
      <c r="M1176" s="82" t="str">
        <f>LEFT(Table1[[#This Row],[Tegevusala kood]],2)</f>
        <v>08</v>
      </c>
      <c r="N1176" s="53" t="str">
        <f>VLOOKUP(Table1[[#This Row],[Tegevusala kood]],Table4[[Tegevusala kood]:[Tegevusala alanimetus]],2,FALSE)</f>
        <v>Roela Rahvamaja</v>
      </c>
      <c r="O1176" s="42"/>
      <c r="P1176" s="42"/>
      <c r="Q1176" s="53" t="str">
        <f>VLOOKUP(Table1[[#This Row],[Eelarvekonto]],Table5[[Konto]:[Kontode alanimetus]],5,FALSE)</f>
        <v>Majandamiskulud</v>
      </c>
      <c r="R1176" s="53" t="str">
        <f>VLOOKUP(Table1[[#This Row],[Tegevusala kood]],Table4[[Tegevusala kood]:[Tegevusala alanimetus]],4,FALSE)</f>
        <v>Rahvakultuur</v>
      </c>
      <c r="S1176" s="53"/>
      <c r="T1176" s="53"/>
      <c r="U1176" s="53">
        <f>Table1[[#This Row],[Summa]]+Table1[[#This Row],[I Muudatus]]+Table1[[#This Row],[II Muudatus]]</f>
        <v>1065</v>
      </c>
    </row>
    <row r="1177" spans="1:21" ht="14.25" hidden="1" customHeight="1" x14ac:dyDescent="0.25">
      <c r="A1177" s="42" t="s">
        <v>1304</v>
      </c>
      <c r="B1177" s="42">
        <v>1300</v>
      </c>
      <c r="C1177" s="53">
        <v>5511</v>
      </c>
      <c r="D1177" s="53" t="str">
        <f>LEFT(Table1[[#This Row],[Eelarvekonto]],2)</f>
        <v>55</v>
      </c>
      <c r="E1177" s="42" t="str">
        <f>VLOOKUP(Table1[[#This Row],[Eelarvekonto]],Table5[[Konto]:[Konto nimetus]],2,FALSE)</f>
        <v>Kinnistute, hoonete ja ruumide majandamiskulud</v>
      </c>
      <c r="F1177" s="42" t="s">
        <v>139</v>
      </c>
      <c r="G1177" s="42" t="s">
        <v>24</v>
      </c>
      <c r="H1177" s="42"/>
      <c r="I1177" s="42"/>
      <c r="J1177" s="42" t="s">
        <v>206</v>
      </c>
      <c r="K1177" s="42" t="s">
        <v>204</v>
      </c>
      <c r="L1177" s="81" t="s">
        <v>205</v>
      </c>
      <c r="M1177" s="82" t="str">
        <f>LEFT(Table1[[#This Row],[Tegevusala kood]],2)</f>
        <v>08</v>
      </c>
      <c r="N1177" s="53" t="str">
        <f>VLOOKUP(Table1[[#This Row],[Tegevusala kood]],Table4[[Tegevusala kood]:[Tegevusala alanimetus]],2,FALSE)</f>
        <v>Roela Rahvamaja</v>
      </c>
      <c r="O1177" s="42"/>
      <c r="P1177" s="42"/>
      <c r="Q1177" s="53" t="str">
        <f>VLOOKUP(Table1[[#This Row],[Eelarvekonto]],Table5[[Konto]:[Kontode alanimetus]],5,FALSE)</f>
        <v>Majandamiskulud</v>
      </c>
      <c r="R1177" s="53" t="str">
        <f>VLOOKUP(Table1[[#This Row],[Tegevusala kood]],Table4[[Tegevusala kood]:[Tegevusala alanimetus]],4,FALSE)</f>
        <v>Rahvakultuur</v>
      </c>
      <c r="S1177" s="53"/>
      <c r="T1177" s="53"/>
      <c r="U1177" s="53">
        <f>Table1[[#This Row],[Summa]]+Table1[[#This Row],[I Muudatus]]+Table1[[#This Row],[II Muudatus]]</f>
        <v>1300</v>
      </c>
    </row>
    <row r="1178" spans="1:21" ht="14.25" hidden="1" customHeight="1" x14ac:dyDescent="0.25">
      <c r="A1178" s="42" t="s">
        <v>140</v>
      </c>
      <c r="B1178" s="42">
        <v>560</v>
      </c>
      <c r="C1178" s="53">
        <v>5504</v>
      </c>
      <c r="D1178" s="53" t="str">
        <f>LEFT(Table1[[#This Row],[Eelarvekonto]],2)</f>
        <v>55</v>
      </c>
      <c r="E1178" s="42" t="str">
        <f>VLOOKUP(Table1[[#This Row],[Eelarvekonto]],Table5[[Konto]:[Konto nimetus]],2,FALSE)</f>
        <v>Koolituskulud (sh koolituslähetus)</v>
      </c>
      <c r="F1178" s="42" t="s">
        <v>139</v>
      </c>
      <c r="G1178" s="42" t="s">
        <v>24</v>
      </c>
      <c r="H1178" s="42"/>
      <c r="I1178" s="42"/>
      <c r="J1178" s="42" t="s">
        <v>206</v>
      </c>
      <c r="K1178" s="42" t="s">
        <v>204</v>
      </c>
      <c r="L1178" s="81" t="s">
        <v>205</v>
      </c>
      <c r="M1178" s="82" t="str">
        <f>LEFT(Table1[[#This Row],[Tegevusala kood]],2)</f>
        <v>08</v>
      </c>
      <c r="N1178" s="53" t="str">
        <f>VLOOKUP(Table1[[#This Row],[Tegevusala kood]],Table4[[Tegevusala kood]:[Tegevusala alanimetus]],2,FALSE)</f>
        <v>Roela Rahvamaja</v>
      </c>
      <c r="O1178" s="42"/>
      <c r="P1178" s="42"/>
      <c r="Q1178" s="53" t="str">
        <f>VLOOKUP(Table1[[#This Row],[Eelarvekonto]],Table5[[Konto]:[Kontode alanimetus]],5,FALSE)</f>
        <v>Majandamiskulud</v>
      </c>
      <c r="R1178" s="53" t="str">
        <f>VLOOKUP(Table1[[#This Row],[Tegevusala kood]],Table4[[Tegevusala kood]:[Tegevusala alanimetus]],4,FALSE)</f>
        <v>Rahvakultuur</v>
      </c>
      <c r="S1178" s="53"/>
      <c r="T1178" s="53"/>
      <c r="U1178" s="53">
        <f>Table1[[#This Row],[Summa]]+Table1[[#This Row],[I Muudatus]]+Table1[[#This Row],[II Muudatus]]</f>
        <v>560</v>
      </c>
    </row>
    <row r="1179" spans="1:21" ht="14.25" hidden="1" customHeight="1" x14ac:dyDescent="0.25">
      <c r="A1179" s="42" t="s">
        <v>227</v>
      </c>
      <c r="B1179" s="42">
        <v>850</v>
      </c>
      <c r="C1179" s="53">
        <v>5500</v>
      </c>
      <c r="D1179" s="53" t="str">
        <f>LEFT(Table1[[#This Row],[Eelarvekonto]],2)</f>
        <v>55</v>
      </c>
      <c r="E1179" s="42" t="str">
        <f>VLOOKUP(Table1[[#This Row],[Eelarvekonto]],Table5[[Konto]:[Konto nimetus]],2,FALSE)</f>
        <v>Administreerimiskulud</v>
      </c>
      <c r="F1179" s="42" t="s">
        <v>139</v>
      </c>
      <c r="G1179" s="42" t="s">
        <v>24</v>
      </c>
      <c r="H1179" s="42"/>
      <c r="I1179" s="42"/>
      <c r="J1179" s="42" t="s">
        <v>206</v>
      </c>
      <c r="K1179" s="42" t="s">
        <v>204</v>
      </c>
      <c r="L1179" s="81" t="s">
        <v>205</v>
      </c>
      <c r="M1179" s="82" t="str">
        <f>LEFT(Table1[[#This Row],[Tegevusala kood]],2)</f>
        <v>08</v>
      </c>
      <c r="N1179" s="53" t="str">
        <f>VLOOKUP(Table1[[#This Row],[Tegevusala kood]],Table4[[Tegevusala kood]:[Tegevusala alanimetus]],2,FALSE)</f>
        <v>Roela Rahvamaja</v>
      </c>
      <c r="O1179" s="42"/>
      <c r="P1179" s="42"/>
      <c r="Q1179" s="53" t="str">
        <f>VLOOKUP(Table1[[#This Row],[Eelarvekonto]],Table5[[Konto]:[Kontode alanimetus]],5,FALSE)</f>
        <v>Majandamiskulud</v>
      </c>
      <c r="R1179" s="53" t="str">
        <f>VLOOKUP(Table1[[#This Row],[Tegevusala kood]],Table4[[Tegevusala kood]:[Tegevusala alanimetus]],4,FALSE)</f>
        <v>Rahvakultuur</v>
      </c>
      <c r="S1179" s="53"/>
      <c r="T1179" s="53"/>
      <c r="U1179" s="53">
        <f>Table1[[#This Row],[Summa]]+Table1[[#This Row],[I Muudatus]]+Table1[[#This Row],[II Muudatus]]</f>
        <v>850</v>
      </c>
    </row>
    <row r="1180" spans="1:21" ht="14.25" hidden="1" customHeight="1" x14ac:dyDescent="0.25">
      <c r="A1180" s="42" t="s">
        <v>1305</v>
      </c>
      <c r="B1180" s="42">
        <v>430</v>
      </c>
      <c r="C1180" s="53">
        <v>5500</v>
      </c>
      <c r="D1180" s="53" t="str">
        <f>LEFT(Table1[[#This Row],[Eelarvekonto]],2)</f>
        <v>55</v>
      </c>
      <c r="E1180" s="42" t="str">
        <f>VLOOKUP(Table1[[#This Row],[Eelarvekonto]],Table5[[Konto]:[Konto nimetus]],2,FALSE)</f>
        <v>Administreerimiskulud</v>
      </c>
      <c r="F1180" s="42" t="s">
        <v>139</v>
      </c>
      <c r="G1180" s="42" t="s">
        <v>24</v>
      </c>
      <c r="H1180" s="42"/>
      <c r="I1180" s="42"/>
      <c r="J1180" s="42" t="s">
        <v>206</v>
      </c>
      <c r="K1180" s="42" t="s">
        <v>204</v>
      </c>
      <c r="L1180" s="81" t="s">
        <v>205</v>
      </c>
      <c r="M1180" s="82" t="str">
        <f>LEFT(Table1[[#This Row],[Tegevusala kood]],2)</f>
        <v>08</v>
      </c>
      <c r="N1180" s="53" t="str">
        <f>VLOOKUP(Table1[[#This Row],[Tegevusala kood]],Table4[[Tegevusala kood]:[Tegevusala alanimetus]],2,FALSE)</f>
        <v>Roela Rahvamaja</v>
      </c>
      <c r="O1180" s="42"/>
      <c r="P1180" s="42"/>
      <c r="Q1180" s="53" t="str">
        <f>VLOOKUP(Table1[[#This Row],[Eelarvekonto]],Table5[[Konto]:[Kontode alanimetus]],5,FALSE)</f>
        <v>Majandamiskulud</v>
      </c>
      <c r="R1180" s="53" t="str">
        <f>VLOOKUP(Table1[[#This Row],[Tegevusala kood]],Table4[[Tegevusala kood]:[Tegevusala alanimetus]],4,FALSE)</f>
        <v>Rahvakultuur</v>
      </c>
      <c r="S1180" s="53"/>
      <c r="T1180" s="53"/>
      <c r="U1180" s="53">
        <f>Table1[[#This Row],[Summa]]+Table1[[#This Row],[I Muudatus]]+Table1[[#This Row],[II Muudatus]]</f>
        <v>430</v>
      </c>
    </row>
    <row r="1181" spans="1:21" ht="14.25" hidden="1" customHeight="1" x14ac:dyDescent="0.25">
      <c r="A1181" s="42" t="s">
        <v>1169</v>
      </c>
      <c r="B1181" s="42">
        <v>6650</v>
      </c>
      <c r="C1181" s="53">
        <v>5525</v>
      </c>
      <c r="D1181" s="53" t="str">
        <f>LEFT(Table1[[#This Row],[Eelarvekonto]],2)</f>
        <v>55</v>
      </c>
      <c r="E1181" s="42" t="str">
        <f>VLOOKUP(Table1[[#This Row],[Eelarvekonto]],Table5[[Konto]:[Konto nimetus]],2,FALSE)</f>
        <v>Kommunikatsiooni-, kultuuri- ja vaba aja sisustamise kulud</v>
      </c>
      <c r="F1181" s="42" t="s">
        <v>139</v>
      </c>
      <c r="G1181" s="42" t="s">
        <v>24</v>
      </c>
      <c r="H1181" s="42"/>
      <c r="I1181" s="42"/>
      <c r="J1181" s="42" t="s">
        <v>206</v>
      </c>
      <c r="K1181" s="42" t="s">
        <v>204</v>
      </c>
      <c r="L1181" s="81" t="s">
        <v>205</v>
      </c>
      <c r="M1181" s="82" t="str">
        <f>LEFT(Table1[[#This Row],[Tegevusala kood]],2)</f>
        <v>08</v>
      </c>
      <c r="N1181" s="53" t="str">
        <f>VLOOKUP(Table1[[#This Row],[Tegevusala kood]],Table4[[Tegevusala kood]:[Tegevusala alanimetus]],2,FALSE)</f>
        <v>Roela Rahvamaja</v>
      </c>
      <c r="O1181" s="42"/>
      <c r="P1181" s="42"/>
      <c r="Q1181" s="53" t="str">
        <f>VLOOKUP(Table1[[#This Row],[Eelarvekonto]],Table5[[Konto]:[Kontode alanimetus]],5,FALSE)</f>
        <v>Majandamiskulud</v>
      </c>
      <c r="R1181" s="53" t="str">
        <f>VLOOKUP(Table1[[#This Row],[Tegevusala kood]],Table4[[Tegevusala kood]:[Tegevusala alanimetus]],4,FALSE)</f>
        <v>Rahvakultuur</v>
      </c>
      <c r="S1181" s="53"/>
      <c r="T1181" s="53"/>
      <c r="U1181" s="53">
        <f>Table1[[#This Row],[Summa]]+Table1[[#This Row],[I Muudatus]]+Table1[[#This Row],[II Muudatus]]</f>
        <v>6650</v>
      </c>
    </row>
    <row r="1182" spans="1:21" ht="14.25" hidden="1" customHeight="1" x14ac:dyDescent="0.25">
      <c r="A1182" s="42" t="s">
        <v>1306</v>
      </c>
      <c r="B1182" s="42">
        <v>1600</v>
      </c>
      <c r="C1182" s="53">
        <v>5525</v>
      </c>
      <c r="D1182" s="53" t="str">
        <f>LEFT(Table1[[#This Row],[Eelarvekonto]],2)</f>
        <v>55</v>
      </c>
      <c r="E1182" s="42" t="str">
        <f>VLOOKUP(Table1[[#This Row],[Eelarvekonto]],Table5[[Konto]:[Konto nimetus]],2,FALSE)</f>
        <v>Kommunikatsiooni-, kultuuri- ja vaba aja sisustamise kulud</v>
      </c>
      <c r="F1182" s="42" t="s">
        <v>139</v>
      </c>
      <c r="G1182" s="42" t="s">
        <v>24</v>
      </c>
      <c r="H1182" s="42"/>
      <c r="I1182" s="42"/>
      <c r="J1182" s="42" t="s">
        <v>147</v>
      </c>
      <c r="K1182" s="42" t="s">
        <v>145</v>
      </c>
      <c r="L1182" s="81" t="s">
        <v>146</v>
      </c>
      <c r="M1182" s="82" t="str">
        <f>LEFT(Table1[[#This Row],[Tegevusala kood]],2)</f>
        <v>10</v>
      </c>
      <c r="N1182" s="53" t="str">
        <f>VLOOKUP(Table1[[#This Row],[Tegevusala kood]],Table4[[Tegevusala kood]:[Tegevusala alanimetus]],2,FALSE)</f>
        <v>Ulvi Kodu</v>
      </c>
      <c r="O1182" s="42"/>
      <c r="P1182" s="42"/>
      <c r="Q1182" s="53" t="str">
        <f>VLOOKUP(Table1[[#This Row],[Eelarvekonto]],Table5[[Konto]:[Kontode alanimetus]],5,FALSE)</f>
        <v>Majandamiskulud</v>
      </c>
      <c r="R1182" s="53" t="str">
        <f>VLOOKUP(Table1[[#This Row],[Tegevusala kood]],Table4[[Tegevusala kood]:[Tegevusala alanimetus]],4,FALSE)</f>
        <v>Eakate sotsiaalhoolekande asutused</v>
      </c>
      <c r="S1182" s="53"/>
      <c r="T1182" s="53"/>
      <c r="U1182" s="53">
        <f>Table1[[#This Row],[Summa]]+Table1[[#This Row],[I Muudatus]]+Table1[[#This Row],[II Muudatus]]</f>
        <v>1600</v>
      </c>
    </row>
    <row r="1183" spans="1:21" ht="14.25" hidden="1" customHeight="1" x14ac:dyDescent="0.25">
      <c r="A1183" s="42" t="s">
        <v>160</v>
      </c>
      <c r="B1183" s="99">
        <v>27595</v>
      </c>
      <c r="C1183" s="53">
        <v>5521</v>
      </c>
      <c r="D1183" s="53" t="str">
        <f>LEFT(Table1[[#This Row],[Eelarvekonto]],2)</f>
        <v>55</v>
      </c>
      <c r="E1183" s="42" t="str">
        <f>VLOOKUP(Table1[[#This Row],[Eelarvekonto]],Table5[[Konto]:[Konto nimetus]],2,FALSE)</f>
        <v>Toiduained ja toitlustusteenused</v>
      </c>
      <c r="F1183" s="42" t="s">
        <v>139</v>
      </c>
      <c r="G1183" s="42" t="s">
        <v>24</v>
      </c>
      <c r="H1183" s="42"/>
      <c r="I1183" s="42"/>
      <c r="J1183" s="42" t="s">
        <v>147</v>
      </c>
      <c r="K1183" s="42" t="s">
        <v>145</v>
      </c>
      <c r="L1183" s="81" t="s">
        <v>146</v>
      </c>
      <c r="M1183" s="82" t="str">
        <f>LEFT(Table1[[#This Row],[Tegevusala kood]],2)</f>
        <v>10</v>
      </c>
      <c r="N1183" s="53" t="str">
        <f>VLOOKUP(Table1[[#This Row],[Tegevusala kood]],Table4[[Tegevusala kood]:[Tegevusala alanimetus]],2,FALSE)</f>
        <v>Ulvi Kodu</v>
      </c>
      <c r="O1183" s="42"/>
      <c r="P1183" s="42"/>
      <c r="Q1183" s="53" t="str">
        <f>VLOOKUP(Table1[[#This Row],[Eelarvekonto]],Table5[[Konto]:[Kontode alanimetus]],5,FALSE)</f>
        <v>Majandamiskulud</v>
      </c>
      <c r="R1183" s="53" t="str">
        <f>VLOOKUP(Table1[[#This Row],[Tegevusala kood]],Table4[[Tegevusala kood]:[Tegevusala alanimetus]],4,FALSE)</f>
        <v>Eakate sotsiaalhoolekande asutused</v>
      </c>
      <c r="S1183" s="53"/>
      <c r="T1183" s="53"/>
      <c r="U1183" s="53">
        <f>Table1[[#This Row],[Summa]]+Table1[[#This Row],[I Muudatus]]+Table1[[#This Row],[II Muudatus]]</f>
        <v>27595</v>
      </c>
    </row>
    <row r="1184" spans="1:21" ht="14.25" hidden="1" customHeight="1" x14ac:dyDescent="0.25">
      <c r="A1184" s="42" t="s">
        <v>1307</v>
      </c>
      <c r="B1184" s="42">
        <v>700</v>
      </c>
      <c r="C1184" s="53">
        <v>5515</v>
      </c>
      <c r="D1184" s="53" t="str">
        <f>LEFT(Table1[[#This Row],[Eelarvekonto]],2)</f>
        <v>55</v>
      </c>
      <c r="E1184" s="42" t="str">
        <f>VLOOKUP(Table1[[#This Row],[Eelarvekonto]],Table5[[Konto]:[Konto nimetus]],2,FALSE)</f>
        <v>Inventari majandamiskulud</v>
      </c>
      <c r="F1184" s="42" t="s">
        <v>139</v>
      </c>
      <c r="G1184" s="42" t="s">
        <v>24</v>
      </c>
      <c r="H1184" s="42"/>
      <c r="I1184" s="42"/>
      <c r="J1184" s="42" t="s">
        <v>147</v>
      </c>
      <c r="K1184" s="42" t="s">
        <v>145</v>
      </c>
      <c r="L1184" s="81" t="s">
        <v>146</v>
      </c>
      <c r="M1184" s="82" t="str">
        <f>LEFT(Table1[[#This Row],[Tegevusala kood]],2)</f>
        <v>10</v>
      </c>
      <c r="N1184" s="53" t="str">
        <f>VLOOKUP(Table1[[#This Row],[Tegevusala kood]],Table4[[Tegevusala kood]:[Tegevusala alanimetus]],2,FALSE)</f>
        <v>Ulvi Kodu</v>
      </c>
      <c r="O1184" s="42"/>
      <c r="P1184" s="42"/>
      <c r="Q1184" s="53" t="str">
        <f>VLOOKUP(Table1[[#This Row],[Eelarvekonto]],Table5[[Konto]:[Kontode alanimetus]],5,FALSE)</f>
        <v>Majandamiskulud</v>
      </c>
      <c r="R1184" s="53" t="str">
        <f>VLOOKUP(Table1[[#This Row],[Tegevusala kood]],Table4[[Tegevusala kood]:[Tegevusala alanimetus]],4,FALSE)</f>
        <v>Eakate sotsiaalhoolekande asutused</v>
      </c>
      <c r="S1184" s="53"/>
      <c r="T1184" s="53"/>
      <c r="U1184" s="53">
        <f>Table1[[#This Row],[Summa]]+Table1[[#This Row],[I Muudatus]]+Table1[[#This Row],[II Muudatus]]</f>
        <v>700</v>
      </c>
    </row>
    <row r="1185" spans="1:21" ht="14.25" hidden="1" customHeight="1" x14ac:dyDescent="0.25">
      <c r="A1185" s="42" t="s">
        <v>1268</v>
      </c>
      <c r="B1185" s="42">
        <v>700</v>
      </c>
      <c r="C1185" s="53">
        <v>5515</v>
      </c>
      <c r="D1185" s="53" t="str">
        <f>LEFT(Table1[[#This Row],[Eelarvekonto]],2)</f>
        <v>55</v>
      </c>
      <c r="E1185" s="42" t="str">
        <f>VLOOKUP(Table1[[#This Row],[Eelarvekonto]],Table5[[Konto]:[Konto nimetus]],2,FALSE)</f>
        <v>Inventari majandamiskulud</v>
      </c>
      <c r="F1185" s="42" t="s">
        <v>139</v>
      </c>
      <c r="G1185" s="42" t="s">
        <v>24</v>
      </c>
      <c r="H1185" s="42"/>
      <c r="I1185" s="42"/>
      <c r="J1185" s="42" t="s">
        <v>147</v>
      </c>
      <c r="K1185" s="42" t="s">
        <v>145</v>
      </c>
      <c r="L1185" s="81" t="s">
        <v>146</v>
      </c>
      <c r="M1185" s="82" t="str">
        <f>LEFT(Table1[[#This Row],[Tegevusala kood]],2)</f>
        <v>10</v>
      </c>
      <c r="N1185" s="53" t="str">
        <f>VLOOKUP(Table1[[#This Row],[Tegevusala kood]],Table4[[Tegevusala kood]:[Tegevusala alanimetus]],2,FALSE)</f>
        <v>Ulvi Kodu</v>
      </c>
      <c r="O1185" s="42"/>
      <c r="P1185" s="42"/>
      <c r="Q1185" s="53" t="str">
        <f>VLOOKUP(Table1[[#This Row],[Eelarvekonto]],Table5[[Konto]:[Kontode alanimetus]],5,FALSE)</f>
        <v>Majandamiskulud</v>
      </c>
      <c r="R1185" s="53" t="str">
        <f>VLOOKUP(Table1[[#This Row],[Tegevusala kood]],Table4[[Tegevusala kood]:[Tegevusala alanimetus]],4,FALSE)</f>
        <v>Eakate sotsiaalhoolekande asutused</v>
      </c>
      <c r="S1185" s="53"/>
      <c r="T1185" s="53"/>
      <c r="U1185" s="53">
        <f>Table1[[#This Row],[Summa]]+Table1[[#This Row],[I Muudatus]]+Table1[[#This Row],[II Muudatus]]</f>
        <v>700</v>
      </c>
    </row>
    <row r="1186" spans="1:21" ht="14.25" hidden="1" customHeight="1" x14ac:dyDescent="0.25">
      <c r="A1186" s="42" t="s">
        <v>1308</v>
      </c>
      <c r="B1186" s="42">
        <v>250</v>
      </c>
      <c r="C1186" s="53">
        <v>5515</v>
      </c>
      <c r="D1186" s="53" t="str">
        <f>LEFT(Table1[[#This Row],[Eelarvekonto]],2)</f>
        <v>55</v>
      </c>
      <c r="E1186" s="42" t="str">
        <f>VLOOKUP(Table1[[#This Row],[Eelarvekonto]],Table5[[Konto]:[Konto nimetus]],2,FALSE)</f>
        <v>Inventari majandamiskulud</v>
      </c>
      <c r="F1186" s="42" t="s">
        <v>139</v>
      </c>
      <c r="G1186" s="42" t="s">
        <v>24</v>
      </c>
      <c r="H1186" s="42"/>
      <c r="I1186" s="42"/>
      <c r="J1186" s="42" t="s">
        <v>147</v>
      </c>
      <c r="K1186" s="42" t="s">
        <v>145</v>
      </c>
      <c r="L1186" s="81" t="s">
        <v>146</v>
      </c>
      <c r="M1186" s="82" t="str">
        <f>LEFT(Table1[[#This Row],[Tegevusala kood]],2)</f>
        <v>10</v>
      </c>
      <c r="N1186" s="53" t="str">
        <f>VLOOKUP(Table1[[#This Row],[Tegevusala kood]],Table4[[Tegevusala kood]:[Tegevusala alanimetus]],2,FALSE)</f>
        <v>Ulvi Kodu</v>
      </c>
      <c r="O1186" s="42"/>
      <c r="P1186" s="42"/>
      <c r="Q1186" s="53" t="str">
        <f>VLOOKUP(Table1[[#This Row],[Eelarvekonto]],Table5[[Konto]:[Kontode alanimetus]],5,FALSE)</f>
        <v>Majandamiskulud</v>
      </c>
      <c r="R1186" s="53" t="str">
        <f>VLOOKUP(Table1[[#This Row],[Tegevusala kood]],Table4[[Tegevusala kood]:[Tegevusala alanimetus]],4,FALSE)</f>
        <v>Eakate sotsiaalhoolekande asutused</v>
      </c>
      <c r="S1186" s="53"/>
      <c r="T1186" s="53"/>
      <c r="U1186" s="53">
        <f>Table1[[#This Row],[Summa]]+Table1[[#This Row],[I Muudatus]]+Table1[[#This Row],[II Muudatus]]</f>
        <v>250</v>
      </c>
    </row>
    <row r="1187" spans="1:21" ht="14.25" hidden="1" customHeight="1" x14ac:dyDescent="0.25">
      <c r="A1187" s="42" t="s">
        <v>163</v>
      </c>
      <c r="B1187" s="42">
        <v>500</v>
      </c>
      <c r="C1187" s="53">
        <v>5515</v>
      </c>
      <c r="D1187" s="53" t="str">
        <f>LEFT(Table1[[#This Row],[Eelarvekonto]],2)</f>
        <v>55</v>
      </c>
      <c r="E1187" s="42" t="str">
        <f>VLOOKUP(Table1[[#This Row],[Eelarvekonto]],Table5[[Konto]:[Konto nimetus]],2,FALSE)</f>
        <v>Inventari majandamiskulud</v>
      </c>
      <c r="F1187" s="42" t="s">
        <v>139</v>
      </c>
      <c r="G1187" s="42" t="s">
        <v>24</v>
      </c>
      <c r="H1187" s="42"/>
      <c r="I1187" s="42"/>
      <c r="J1187" s="42" t="s">
        <v>147</v>
      </c>
      <c r="K1187" s="42" t="s">
        <v>145</v>
      </c>
      <c r="L1187" s="81" t="s">
        <v>146</v>
      </c>
      <c r="M1187" s="82" t="str">
        <f>LEFT(Table1[[#This Row],[Tegevusala kood]],2)</f>
        <v>10</v>
      </c>
      <c r="N1187" s="53" t="str">
        <f>VLOOKUP(Table1[[#This Row],[Tegevusala kood]],Table4[[Tegevusala kood]:[Tegevusala alanimetus]],2,FALSE)</f>
        <v>Ulvi Kodu</v>
      </c>
      <c r="O1187" s="42"/>
      <c r="P1187" s="42"/>
      <c r="Q1187" s="53" t="str">
        <f>VLOOKUP(Table1[[#This Row],[Eelarvekonto]],Table5[[Konto]:[Kontode alanimetus]],5,FALSE)</f>
        <v>Majandamiskulud</v>
      </c>
      <c r="R1187" s="53" t="str">
        <f>VLOOKUP(Table1[[#This Row],[Tegevusala kood]],Table4[[Tegevusala kood]:[Tegevusala alanimetus]],4,FALSE)</f>
        <v>Eakate sotsiaalhoolekande asutused</v>
      </c>
      <c r="S1187" s="53"/>
      <c r="T1187" s="53"/>
      <c r="U1187" s="53">
        <f>Table1[[#This Row],[Summa]]+Table1[[#This Row],[I Muudatus]]+Table1[[#This Row],[II Muudatus]]</f>
        <v>500</v>
      </c>
    </row>
    <row r="1188" spans="1:21" ht="14.25" hidden="1" customHeight="1" x14ac:dyDescent="0.25">
      <c r="A1188" s="42" t="s">
        <v>1309</v>
      </c>
      <c r="B1188" s="42">
        <v>1300</v>
      </c>
      <c r="C1188" s="53">
        <v>5515</v>
      </c>
      <c r="D1188" s="53" t="str">
        <f>LEFT(Table1[[#This Row],[Eelarvekonto]],2)</f>
        <v>55</v>
      </c>
      <c r="E1188" s="42" t="str">
        <f>VLOOKUP(Table1[[#This Row],[Eelarvekonto]],Table5[[Konto]:[Konto nimetus]],2,FALSE)</f>
        <v>Inventari majandamiskulud</v>
      </c>
      <c r="F1188" s="42" t="s">
        <v>139</v>
      </c>
      <c r="G1188" s="42" t="s">
        <v>24</v>
      </c>
      <c r="H1188" s="42"/>
      <c r="I1188" s="42"/>
      <c r="J1188" s="42" t="s">
        <v>147</v>
      </c>
      <c r="K1188" s="42" t="s">
        <v>145</v>
      </c>
      <c r="L1188" s="81" t="s">
        <v>146</v>
      </c>
      <c r="M1188" s="82" t="str">
        <f>LEFT(Table1[[#This Row],[Tegevusala kood]],2)</f>
        <v>10</v>
      </c>
      <c r="N1188" s="53" t="str">
        <f>VLOOKUP(Table1[[#This Row],[Tegevusala kood]],Table4[[Tegevusala kood]:[Tegevusala alanimetus]],2,FALSE)</f>
        <v>Ulvi Kodu</v>
      </c>
      <c r="O1188" s="42"/>
      <c r="P1188" s="42"/>
      <c r="Q1188" s="53" t="str">
        <f>VLOOKUP(Table1[[#This Row],[Eelarvekonto]],Table5[[Konto]:[Kontode alanimetus]],5,FALSE)</f>
        <v>Majandamiskulud</v>
      </c>
      <c r="R1188" s="53" t="str">
        <f>VLOOKUP(Table1[[#This Row],[Tegevusala kood]],Table4[[Tegevusala kood]:[Tegevusala alanimetus]],4,FALSE)</f>
        <v>Eakate sotsiaalhoolekande asutused</v>
      </c>
      <c r="S1188" s="53"/>
      <c r="T1188" s="53"/>
      <c r="U1188" s="53">
        <f>Table1[[#This Row],[Summa]]+Table1[[#This Row],[I Muudatus]]+Table1[[#This Row],[II Muudatus]]</f>
        <v>1300</v>
      </c>
    </row>
    <row r="1189" spans="1:21" ht="14.25" hidden="1" customHeight="1" x14ac:dyDescent="0.25">
      <c r="A1189" s="42" t="s">
        <v>162</v>
      </c>
      <c r="B1189" s="42">
        <v>250</v>
      </c>
      <c r="C1189" s="53">
        <v>5515</v>
      </c>
      <c r="D1189" s="53" t="str">
        <f>LEFT(Table1[[#This Row],[Eelarvekonto]],2)</f>
        <v>55</v>
      </c>
      <c r="E1189" s="42" t="str">
        <f>VLOOKUP(Table1[[#This Row],[Eelarvekonto]],Table5[[Konto]:[Konto nimetus]],2,FALSE)</f>
        <v>Inventari majandamiskulud</v>
      </c>
      <c r="F1189" s="42" t="s">
        <v>139</v>
      </c>
      <c r="G1189" s="42" t="s">
        <v>24</v>
      </c>
      <c r="H1189" s="42"/>
      <c r="I1189" s="42"/>
      <c r="J1189" s="42" t="s">
        <v>147</v>
      </c>
      <c r="K1189" s="42" t="s">
        <v>145</v>
      </c>
      <c r="L1189" s="81" t="s">
        <v>146</v>
      </c>
      <c r="M1189" s="82" t="str">
        <f>LEFT(Table1[[#This Row],[Tegevusala kood]],2)</f>
        <v>10</v>
      </c>
      <c r="N1189" s="53" t="str">
        <f>VLOOKUP(Table1[[#This Row],[Tegevusala kood]],Table4[[Tegevusala kood]:[Tegevusala alanimetus]],2,FALSE)</f>
        <v>Ulvi Kodu</v>
      </c>
      <c r="O1189" s="42"/>
      <c r="P1189" s="42"/>
      <c r="Q1189" s="53" t="str">
        <f>VLOOKUP(Table1[[#This Row],[Eelarvekonto]],Table5[[Konto]:[Kontode alanimetus]],5,FALSE)</f>
        <v>Majandamiskulud</v>
      </c>
      <c r="R1189" s="53" t="str">
        <f>VLOOKUP(Table1[[#This Row],[Tegevusala kood]],Table4[[Tegevusala kood]:[Tegevusala alanimetus]],4,FALSE)</f>
        <v>Eakate sotsiaalhoolekande asutused</v>
      </c>
      <c r="S1189" s="53"/>
      <c r="T1189" s="53"/>
      <c r="U1189" s="53">
        <f>Table1[[#This Row],[Summa]]+Table1[[#This Row],[I Muudatus]]+Table1[[#This Row],[II Muudatus]]</f>
        <v>250</v>
      </c>
    </row>
    <row r="1190" spans="1:21" ht="14.25" hidden="1" customHeight="1" x14ac:dyDescent="0.25">
      <c r="A1190" s="42" t="s">
        <v>1175</v>
      </c>
      <c r="B1190" s="42">
        <v>173.2</v>
      </c>
      <c r="C1190" s="53">
        <v>5514</v>
      </c>
      <c r="D1190" s="53" t="str">
        <f>LEFT(Table1[[#This Row],[Eelarvekonto]],2)</f>
        <v>55</v>
      </c>
      <c r="E1190" s="42" t="str">
        <f>VLOOKUP(Table1[[#This Row],[Eelarvekonto]],Table5[[Konto]:[Konto nimetus]],2,FALSE)</f>
        <v>Info- ja kommunikatsioonitehnoloogia kulud</v>
      </c>
      <c r="F1190" s="42" t="s">
        <v>139</v>
      </c>
      <c r="G1190" s="42" t="s">
        <v>24</v>
      </c>
      <c r="H1190" s="42"/>
      <c r="I1190" s="42"/>
      <c r="J1190" s="42" t="s">
        <v>147</v>
      </c>
      <c r="K1190" s="42" t="s">
        <v>145</v>
      </c>
      <c r="L1190" s="81" t="s">
        <v>146</v>
      </c>
      <c r="M1190" s="82" t="str">
        <f>LEFT(Table1[[#This Row],[Tegevusala kood]],2)</f>
        <v>10</v>
      </c>
      <c r="N1190" s="53" t="str">
        <f>VLOOKUP(Table1[[#This Row],[Tegevusala kood]],Table4[[Tegevusala kood]:[Tegevusala alanimetus]],2,FALSE)</f>
        <v>Ulvi Kodu</v>
      </c>
      <c r="O1190" s="42"/>
      <c r="P1190" s="42"/>
      <c r="Q1190" s="53" t="str">
        <f>VLOOKUP(Table1[[#This Row],[Eelarvekonto]],Table5[[Konto]:[Kontode alanimetus]],5,FALSE)</f>
        <v>Majandamiskulud</v>
      </c>
      <c r="R1190" s="53" t="str">
        <f>VLOOKUP(Table1[[#This Row],[Tegevusala kood]],Table4[[Tegevusala kood]:[Tegevusala alanimetus]],4,FALSE)</f>
        <v>Eakate sotsiaalhoolekande asutused</v>
      </c>
      <c r="S1190" s="53"/>
      <c r="T1190" s="53"/>
      <c r="U1190" s="53">
        <f>Table1[[#This Row],[Summa]]+Table1[[#This Row],[I Muudatus]]+Table1[[#This Row],[II Muudatus]]</f>
        <v>173.2</v>
      </c>
    </row>
    <row r="1191" spans="1:21" ht="14.25" hidden="1" customHeight="1" x14ac:dyDescent="0.25">
      <c r="A1191" s="42" t="s">
        <v>1310</v>
      </c>
      <c r="B1191" s="42">
        <v>1060</v>
      </c>
      <c r="C1191" s="53">
        <v>5511</v>
      </c>
      <c r="D1191" s="53" t="str">
        <f>LEFT(Table1[[#This Row],[Eelarvekonto]],2)</f>
        <v>55</v>
      </c>
      <c r="E1191" s="42" t="str">
        <f>VLOOKUP(Table1[[#This Row],[Eelarvekonto]],Table5[[Konto]:[Konto nimetus]],2,FALSE)</f>
        <v>Kinnistute, hoonete ja ruumide majandamiskulud</v>
      </c>
      <c r="F1191" s="42" t="s">
        <v>139</v>
      </c>
      <c r="G1191" s="42" t="s">
        <v>24</v>
      </c>
      <c r="H1191" s="42"/>
      <c r="I1191" s="42"/>
      <c r="J1191" s="42" t="s">
        <v>147</v>
      </c>
      <c r="K1191" s="42" t="s">
        <v>145</v>
      </c>
      <c r="L1191" s="81" t="s">
        <v>146</v>
      </c>
      <c r="M1191" s="82" t="str">
        <f>LEFT(Table1[[#This Row],[Tegevusala kood]],2)</f>
        <v>10</v>
      </c>
      <c r="N1191" s="53" t="str">
        <f>VLOOKUP(Table1[[#This Row],[Tegevusala kood]],Table4[[Tegevusala kood]:[Tegevusala alanimetus]],2,FALSE)</f>
        <v>Ulvi Kodu</v>
      </c>
      <c r="O1191" s="42"/>
      <c r="P1191" s="42"/>
      <c r="Q1191" s="53" t="str">
        <f>VLOOKUP(Table1[[#This Row],[Eelarvekonto]],Table5[[Konto]:[Kontode alanimetus]],5,FALSE)</f>
        <v>Majandamiskulud</v>
      </c>
      <c r="R1191" s="53" t="str">
        <f>VLOOKUP(Table1[[#This Row],[Tegevusala kood]],Table4[[Tegevusala kood]:[Tegevusala alanimetus]],4,FALSE)</f>
        <v>Eakate sotsiaalhoolekande asutused</v>
      </c>
      <c r="S1191" s="53"/>
      <c r="T1191" s="53"/>
      <c r="U1191" s="53">
        <f>Table1[[#This Row],[Summa]]+Table1[[#This Row],[I Muudatus]]+Table1[[#This Row],[II Muudatus]]</f>
        <v>1060</v>
      </c>
    </row>
    <row r="1192" spans="1:21" ht="14.25" hidden="1" customHeight="1" x14ac:dyDescent="0.25">
      <c r="A1192" s="42" t="s">
        <v>1311</v>
      </c>
      <c r="B1192" s="42">
        <v>100</v>
      </c>
      <c r="C1192" s="53">
        <v>5500</v>
      </c>
      <c r="D1192" s="53" t="str">
        <f>LEFT(Table1[[#This Row],[Eelarvekonto]],2)</f>
        <v>55</v>
      </c>
      <c r="E1192" s="42" t="str">
        <f>VLOOKUP(Table1[[#This Row],[Eelarvekonto]],Table5[[Konto]:[Konto nimetus]],2,FALSE)</f>
        <v>Administreerimiskulud</v>
      </c>
      <c r="F1192" s="42" t="s">
        <v>139</v>
      </c>
      <c r="G1192" s="42" t="s">
        <v>24</v>
      </c>
      <c r="H1192" s="42"/>
      <c r="I1192" s="42"/>
      <c r="J1192" s="42" t="s">
        <v>147</v>
      </c>
      <c r="K1192" s="42" t="s">
        <v>145</v>
      </c>
      <c r="L1192" s="81" t="s">
        <v>146</v>
      </c>
      <c r="M1192" s="82" t="str">
        <f>LEFT(Table1[[#This Row],[Tegevusala kood]],2)</f>
        <v>10</v>
      </c>
      <c r="N1192" s="53" t="str">
        <f>VLOOKUP(Table1[[#This Row],[Tegevusala kood]],Table4[[Tegevusala kood]:[Tegevusala alanimetus]],2,FALSE)</f>
        <v>Ulvi Kodu</v>
      </c>
      <c r="O1192" s="42"/>
      <c r="P1192" s="42"/>
      <c r="Q1192" s="53" t="str">
        <f>VLOOKUP(Table1[[#This Row],[Eelarvekonto]],Table5[[Konto]:[Kontode alanimetus]],5,FALSE)</f>
        <v>Majandamiskulud</v>
      </c>
      <c r="R1192" s="53" t="str">
        <f>VLOOKUP(Table1[[#This Row],[Tegevusala kood]],Table4[[Tegevusala kood]:[Tegevusala alanimetus]],4,FALSE)</f>
        <v>Eakate sotsiaalhoolekande asutused</v>
      </c>
      <c r="S1192" s="53"/>
      <c r="T1192" s="53"/>
      <c r="U1192" s="53">
        <f>Table1[[#This Row],[Summa]]+Table1[[#This Row],[I Muudatus]]+Table1[[#This Row],[II Muudatus]]</f>
        <v>100</v>
      </c>
    </row>
    <row r="1193" spans="1:21" ht="14.25" hidden="1" customHeight="1" x14ac:dyDescent="0.25">
      <c r="A1193" s="42" t="s">
        <v>1312</v>
      </c>
      <c r="B1193" s="42">
        <v>180</v>
      </c>
      <c r="C1193" s="53">
        <v>5500</v>
      </c>
      <c r="D1193" s="53" t="str">
        <f>LEFT(Table1[[#This Row],[Eelarvekonto]],2)</f>
        <v>55</v>
      </c>
      <c r="E1193" s="42" t="str">
        <f>VLOOKUP(Table1[[#This Row],[Eelarvekonto]],Table5[[Konto]:[Konto nimetus]],2,FALSE)</f>
        <v>Administreerimiskulud</v>
      </c>
      <c r="F1193" s="42" t="s">
        <v>139</v>
      </c>
      <c r="G1193" s="42" t="s">
        <v>24</v>
      </c>
      <c r="H1193" s="42"/>
      <c r="I1193" s="42"/>
      <c r="J1193" s="42" t="s">
        <v>147</v>
      </c>
      <c r="K1193" s="42" t="s">
        <v>145</v>
      </c>
      <c r="L1193" s="81" t="s">
        <v>146</v>
      </c>
      <c r="M1193" s="82" t="str">
        <f>LEFT(Table1[[#This Row],[Tegevusala kood]],2)</f>
        <v>10</v>
      </c>
      <c r="N1193" s="53" t="str">
        <f>VLOOKUP(Table1[[#This Row],[Tegevusala kood]],Table4[[Tegevusala kood]:[Tegevusala alanimetus]],2,FALSE)</f>
        <v>Ulvi Kodu</v>
      </c>
      <c r="O1193" s="42"/>
      <c r="P1193" s="42"/>
      <c r="Q1193" s="53" t="str">
        <f>VLOOKUP(Table1[[#This Row],[Eelarvekonto]],Table5[[Konto]:[Kontode alanimetus]],5,FALSE)</f>
        <v>Majandamiskulud</v>
      </c>
      <c r="R1193" s="53" t="str">
        <f>VLOOKUP(Table1[[#This Row],[Tegevusala kood]],Table4[[Tegevusala kood]:[Tegevusala alanimetus]],4,FALSE)</f>
        <v>Eakate sotsiaalhoolekande asutused</v>
      </c>
      <c r="S1193" s="53"/>
      <c r="T1193" s="53"/>
      <c r="U1193" s="53">
        <f>Table1[[#This Row],[Summa]]+Table1[[#This Row],[I Muudatus]]+Table1[[#This Row],[II Muudatus]]</f>
        <v>180</v>
      </c>
    </row>
    <row r="1194" spans="1:21" ht="14.25" hidden="1" customHeight="1" x14ac:dyDescent="0.25">
      <c r="A1194" s="42" t="s">
        <v>1313</v>
      </c>
      <c r="B1194" s="42">
        <v>2000</v>
      </c>
      <c r="C1194" s="53">
        <v>5005</v>
      </c>
      <c r="D1194" s="53" t="str">
        <f>LEFT(Table1[[#This Row],[Eelarvekonto]],2)</f>
        <v>50</v>
      </c>
      <c r="E1194" s="42" t="str">
        <f>VLOOKUP(Table1[[#This Row],[Eelarvekonto]],Table5[[Konto]:[Konto nimetus]],2,FALSE)</f>
        <v>Töötasud võlaõiguslike lepingute alusel</v>
      </c>
      <c r="F1194" s="42" t="s">
        <v>139</v>
      </c>
      <c r="G1194" s="42" t="s">
        <v>24</v>
      </c>
      <c r="H1194" s="42"/>
      <c r="I1194" s="42"/>
      <c r="J1194" s="42" t="s">
        <v>147</v>
      </c>
      <c r="K1194" s="42" t="s">
        <v>145</v>
      </c>
      <c r="L1194" s="81" t="s">
        <v>146</v>
      </c>
      <c r="M1194" s="82" t="str">
        <f>LEFT(Table1[[#This Row],[Tegevusala kood]],2)</f>
        <v>10</v>
      </c>
      <c r="N1194" s="53" t="str">
        <f>VLOOKUP(Table1[[#This Row],[Tegevusala kood]],Table4[[Tegevusala kood]:[Tegevusala alanimetus]],2,FALSE)</f>
        <v>Ulvi Kodu</v>
      </c>
      <c r="O1194" s="42"/>
      <c r="P1194" s="42"/>
      <c r="Q1194" s="53" t="str">
        <f>VLOOKUP(Table1[[#This Row],[Eelarvekonto]],Table5[[Konto]:[Kontode alanimetus]],5,FALSE)</f>
        <v>Tööjõukulud</v>
      </c>
      <c r="R1194" s="53" t="str">
        <f>VLOOKUP(Table1[[#This Row],[Tegevusala kood]],Table4[[Tegevusala kood]:[Tegevusala alanimetus]],4,FALSE)</f>
        <v>Eakate sotsiaalhoolekande asutused</v>
      </c>
      <c r="S1194" s="53"/>
      <c r="T1194" s="53"/>
      <c r="U1194" s="53">
        <f>Table1[[#This Row],[Summa]]+Table1[[#This Row],[I Muudatus]]+Table1[[#This Row],[II Muudatus]]</f>
        <v>2000</v>
      </c>
    </row>
    <row r="1195" spans="1:21" ht="14.25" hidden="1" customHeight="1" x14ac:dyDescent="0.25">
      <c r="A1195" s="42" t="s">
        <v>168</v>
      </c>
      <c r="B1195" s="42">
        <v>10400</v>
      </c>
      <c r="C1195" s="53">
        <v>5005</v>
      </c>
      <c r="D1195" s="53" t="str">
        <f>LEFT(Table1[[#This Row],[Eelarvekonto]],2)</f>
        <v>50</v>
      </c>
      <c r="E1195" s="42" t="str">
        <f>VLOOKUP(Table1[[#This Row],[Eelarvekonto]],Table5[[Konto]:[Konto nimetus]],2,FALSE)</f>
        <v>Töötasud võlaõiguslike lepingute alusel</v>
      </c>
      <c r="F1195" s="42" t="s">
        <v>139</v>
      </c>
      <c r="G1195" s="42" t="s">
        <v>24</v>
      </c>
      <c r="H1195" s="42"/>
      <c r="I1195" s="42"/>
      <c r="J1195" s="42" t="s">
        <v>147</v>
      </c>
      <c r="K1195" s="42" t="s">
        <v>145</v>
      </c>
      <c r="L1195" s="81" t="s">
        <v>146</v>
      </c>
      <c r="M1195" s="82" t="str">
        <f>LEFT(Table1[[#This Row],[Tegevusala kood]],2)</f>
        <v>10</v>
      </c>
      <c r="N1195" s="53" t="str">
        <f>VLOOKUP(Table1[[#This Row],[Tegevusala kood]],Table4[[Tegevusala kood]:[Tegevusala alanimetus]],2,FALSE)</f>
        <v>Ulvi Kodu</v>
      </c>
      <c r="O1195" s="42"/>
      <c r="P1195" s="42"/>
      <c r="Q1195" s="53" t="str">
        <f>VLOOKUP(Table1[[#This Row],[Eelarvekonto]],Table5[[Konto]:[Kontode alanimetus]],5,FALSE)</f>
        <v>Tööjõukulud</v>
      </c>
      <c r="R1195" s="53" t="str">
        <f>VLOOKUP(Table1[[#This Row],[Tegevusala kood]],Table4[[Tegevusala kood]:[Tegevusala alanimetus]],4,FALSE)</f>
        <v>Eakate sotsiaalhoolekande asutused</v>
      </c>
      <c r="S1195" s="53"/>
      <c r="T1195" s="53"/>
      <c r="U1195" s="53">
        <f>Table1[[#This Row],[Summa]]+Table1[[#This Row],[I Muudatus]]+Table1[[#This Row],[II Muudatus]]</f>
        <v>10400</v>
      </c>
    </row>
    <row r="1196" spans="1:21" ht="14.25" hidden="1" customHeight="1" x14ac:dyDescent="0.25">
      <c r="A1196" s="42" t="s">
        <v>157</v>
      </c>
      <c r="B1196" s="42">
        <v>780</v>
      </c>
      <c r="C1196" s="53">
        <v>5005</v>
      </c>
      <c r="D1196" s="53" t="str">
        <f>LEFT(Table1[[#This Row],[Eelarvekonto]],2)</f>
        <v>50</v>
      </c>
      <c r="E1196" s="42" t="str">
        <f>VLOOKUP(Table1[[#This Row],[Eelarvekonto]],Table5[[Konto]:[Konto nimetus]],2,FALSE)</f>
        <v>Töötasud võlaõiguslike lepingute alusel</v>
      </c>
      <c r="F1196" s="42" t="s">
        <v>139</v>
      </c>
      <c r="G1196" s="42" t="s">
        <v>24</v>
      </c>
      <c r="H1196" s="42"/>
      <c r="I1196" s="42"/>
      <c r="J1196" s="42" t="s">
        <v>147</v>
      </c>
      <c r="K1196" s="42" t="s">
        <v>145</v>
      </c>
      <c r="L1196" s="81" t="s">
        <v>146</v>
      </c>
      <c r="M1196" s="82" t="str">
        <f>LEFT(Table1[[#This Row],[Tegevusala kood]],2)</f>
        <v>10</v>
      </c>
      <c r="N1196" s="53" t="str">
        <f>VLOOKUP(Table1[[#This Row],[Tegevusala kood]],Table4[[Tegevusala kood]:[Tegevusala alanimetus]],2,FALSE)</f>
        <v>Ulvi Kodu</v>
      </c>
      <c r="O1196" s="42"/>
      <c r="P1196" s="42"/>
      <c r="Q1196" s="53" t="str">
        <f>VLOOKUP(Table1[[#This Row],[Eelarvekonto]],Table5[[Konto]:[Kontode alanimetus]],5,FALSE)</f>
        <v>Tööjõukulud</v>
      </c>
      <c r="R1196" s="53" t="str">
        <f>VLOOKUP(Table1[[#This Row],[Tegevusala kood]],Table4[[Tegevusala kood]:[Tegevusala alanimetus]],4,FALSE)</f>
        <v>Eakate sotsiaalhoolekande asutused</v>
      </c>
      <c r="S1196" s="53"/>
      <c r="T1196" s="53"/>
      <c r="U1196" s="53">
        <f>Table1[[#This Row],[Summa]]+Table1[[#This Row],[I Muudatus]]+Table1[[#This Row],[II Muudatus]]</f>
        <v>780</v>
      </c>
    </row>
    <row r="1197" spans="1:21" ht="14.25" hidden="1" customHeight="1" x14ac:dyDescent="0.25">
      <c r="A1197" s="42" t="s">
        <v>1459</v>
      </c>
      <c r="B1197" s="42">
        <v>1240.8</v>
      </c>
      <c r="C1197" s="42">
        <v>5002</v>
      </c>
      <c r="D1197" s="53" t="str">
        <f>LEFT(Table1[[#This Row],[Eelarvekonto]],2)</f>
        <v>50</v>
      </c>
      <c r="E1197" s="42" t="str">
        <f>VLOOKUP(Table1[[#This Row],[Eelarvekonto]],Table5[[Konto]:[Konto nimetus]],2,FALSE)</f>
        <v>Töötajate töötasud</v>
      </c>
      <c r="F1197" s="98" t="s">
        <v>139</v>
      </c>
      <c r="G1197" s="42" t="s">
        <v>24</v>
      </c>
      <c r="H1197" s="42"/>
      <c r="I1197" s="42"/>
      <c r="J1197" s="42" t="s">
        <v>258</v>
      </c>
      <c r="K1197" s="42" t="s">
        <v>256</v>
      </c>
      <c r="L1197" s="62" t="s">
        <v>257</v>
      </c>
      <c r="M1197" s="100" t="str">
        <f>LEFT(Table1[[#This Row],[Tegevusala kood]],2)</f>
        <v>09</v>
      </c>
      <c r="N1197" s="53" t="str">
        <f>VLOOKUP(Table1[[#This Row],[Tegevusala kood]],Table4[[Tegevusala kood]:[Tegevusala alanimetus]],2,FALSE)</f>
        <v>Tudu kool</v>
      </c>
      <c r="O1197" s="42"/>
      <c r="P1197" s="42"/>
      <c r="Q1197" s="53" t="str">
        <f>VLOOKUP(Table1[[#This Row],[Eelarvekonto]],Table5[[Konto]:[Kontode alanimetus]],5,FALSE)</f>
        <v>Tööjõukulud</v>
      </c>
      <c r="R1197" s="53" t="str">
        <f>VLOOKUP(Table1[[#This Row],[Tegevusala kood]],Table4[[Tegevusala kood]:[Tegevusala alanimetus]],4,FALSE)</f>
        <v>Põhihariduse otsekulud</v>
      </c>
      <c r="S1197" s="53"/>
      <c r="T1197" s="53"/>
      <c r="U1197" s="53">
        <f>Table1[[#This Row],[Summa]]+Table1[[#This Row],[I Muudatus]]+Table1[[#This Row],[II Muudatus]]</f>
        <v>1240.8</v>
      </c>
    </row>
    <row r="1198" spans="1:21" ht="14.25" hidden="1" customHeight="1" x14ac:dyDescent="0.25">
      <c r="A1198" s="42" t="s">
        <v>153</v>
      </c>
      <c r="B1198" s="42">
        <v>700</v>
      </c>
      <c r="C1198" s="53">
        <v>5532</v>
      </c>
      <c r="D1198" s="53" t="str">
        <f>LEFT(Table1[[#This Row],[Eelarvekonto]],2)</f>
        <v>55</v>
      </c>
      <c r="E1198" s="42" t="str">
        <f>VLOOKUP(Table1[[#This Row],[Eelarvekonto]],Table5[[Konto]:[Konto nimetus]],2,FALSE)</f>
        <v>Eri- ja vormiriietus (va kaitseotstarbelised kulud)</v>
      </c>
      <c r="F1198" s="42" t="s">
        <v>139</v>
      </c>
      <c r="G1198" s="42" t="s">
        <v>24</v>
      </c>
      <c r="H1198" s="42"/>
      <c r="I1198" s="42"/>
      <c r="J1198" s="42" t="s">
        <v>147</v>
      </c>
      <c r="K1198" s="42" t="s">
        <v>145</v>
      </c>
      <c r="L1198" s="81" t="s">
        <v>146</v>
      </c>
      <c r="M1198" s="82" t="str">
        <f>LEFT(Table1[[#This Row],[Tegevusala kood]],2)</f>
        <v>10</v>
      </c>
      <c r="N1198" s="53" t="str">
        <f>VLOOKUP(Table1[[#This Row],[Tegevusala kood]],Table4[[Tegevusala kood]:[Tegevusala alanimetus]],2,FALSE)</f>
        <v>Ulvi Kodu</v>
      </c>
      <c r="O1198" s="42"/>
      <c r="P1198" s="42"/>
      <c r="Q1198" s="53" t="str">
        <f>VLOOKUP(Table1[[#This Row],[Eelarvekonto]],Table5[[Konto]:[Kontode alanimetus]],5,FALSE)</f>
        <v>Majandamiskulud</v>
      </c>
      <c r="R1198" s="53" t="str">
        <f>VLOOKUP(Table1[[#This Row],[Tegevusala kood]],Table4[[Tegevusala kood]:[Tegevusala alanimetus]],4,FALSE)</f>
        <v>Eakate sotsiaalhoolekande asutused</v>
      </c>
      <c r="S1198" s="53"/>
      <c r="T1198" s="53"/>
      <c r="U1198" s="53">
        <f>Table1[[#This Row],[Summa]]+Table1[[#This Row],[I Muudatus]]+Table1[[#This Row],[II Muudatus]]</f>
        <v>700</v>
      </c>
    </row>
    <row r="1199" spans="1:21" ht="14.25" hidden="1" customHeight="1" x14ac:dyDescent="0.25">
      <c r="A1199" s="42" t="s">
        <v>152</v>
      </c>
      <c r="B1199" s="42">
        <v>400</v>
      </c>
      <c r="C1199" s="53">
        <v>5526</v>
      </c>
      <c r="D1199" s="53" t="str">
        <f>LEFT(Table1[[#This Row],[Eelarvekonto]],2)</f>
        <v>55</v>
      </c>
      <c r="E1199" s="42" t="str">
        <f>VLOOKUP(Table1[[#This Row],[Eelarvekonto]],Table5[[Konto]:[Konto nimetus]],2,FALSE)</f>
        <v>Sotsiaalteenused</v>
      </c>
      <c r="F1199" s="42" t="s">
        <v>139</v>
      </c>
      <c r="G1199" s="42" t="s">
        <v>24</v>
      </c>
      <c r="H1199" s="42"/>
      <c r="I1199" s="42"/>
      <c r="J1199" s="42" t="s">
        <v>147</v>
      </c>
      <c r="K1199" s="42" t="s">
        <v>145</v>
      </c>
      <c r="L1199" s="81" t="s">
        <v>146</v>
      </c>
      <c r="M1199" s="82" t="str">
        <f>LEFT(Table1[[#This Row],[Tegevusala kood]],2)</f>
        <v>10</v>
      </c>
      <c r="N1199" s="53" t="str">
        <f>VLOOKUP(Table1[[#This Row],[Tegevusala kood]],Table4[[Tegevusala kood]:[Tegevusala alanimetus]],2,FALSE)</f>
        <v>Ulvi Kodu</v>
      </c>
      <c r="O1199" s="42"/>
      <c r="P1199" s="42"/>
      <c r="Q1199" s="53" t="str">
        <f>VLOOKUP(Table1[[#This Row],[Eelarvekonto]],Table5[[Konto]:[Kontode alanimetus]],5,FALSE)</f>
        <v>Majandamiskulud</v>
      </c>
      <c r="R1199" s="53" t="str">
        <f>VLOOKUP(Table1[[#This Row],[Tegevusala kood]],Table4[[Tegevusala kood]:[Tegevusala alanimetus]],4,FALSE)</f>
        <v>Eakate sotsiaalhoolekande asutused</v>
      </c>
      <c r="S1199" s="53"/>
      <c r="T1199" s="53"/>
      <c r="U1199" s="53">
        <f>Table1[[#This Row],[Summa]]+Table1[[#This Row],[I Muudatus]]+Table1[[#This Row],[II Muudatus]]</f>
        <v>400</v>
      </c>
    </row>
    <row r="1200" spans="1:21" ht="14.25" hidden="1" customHeight="1" x14ac:dyDescent="0.25">
      <c r="A1200" s="42" t="s">
        <v>151</v>
      </c>
      <c r="B1200" s="42">
        <v>300</v>
      </c>
      <c r="C1200" s="53">
        <v>5522</v>
      </c>
      <c r="D1200" s="53" t="str">
        <f>LEFT(Table1[[#This Row],[Eelarvekonto]],2)</f>
        <v>55</v>
      </c>
      <c r="E1200" s="42" t="str">
        <f>VLOOKUP(Table1[[#This Row],[Eelarvekonto]],Table5[[Konto]:[Konto nimetus]],2,FALSE)</f>
        <v>Meditsiinikulud ja hügieenikulud</v>
      </c>
      <c r="F1200" s="42" t="s">
        <v>139</v>
      </c>
      <c r="G1200" s="42" t="s">
        <v>24</v>
      </c>
      <c r="H1200" s="42"/>
      <c r="I1200" s="42"/>
      <c r="J1200" s="42" t="s">
        <v>147</v>
      </c>
      <c r="K1200" s="42" t="s">
        <v>145</v>
      </c>
      <c r="L1200" s="81" t="s">
        <v>146</v>
      </c>
      <c r="M1200" s="82" t="str">
        <f>LEFT(Table1[[#This Row],[Tegevusala kood]],2)</f>
        <v>10</v>
      </c>
      <c r="N1200" s="53" t="str">
        <f>VLOOKUP(Table1[[#This Row],[Tegevusala kood]],Table4[[Tegevusala kood]:[Tegevusala alanimetus]],2,FALSE)</f>
        <v>Ulvi Kodu</v>
      </c>
      <c r="O1200" s="42"/>
      <c r="P1200" s="42"/>
      <c r="Q1200" s="53" t="str">
        <f>VLOOKUP(Table1[[#This Row],[Eelarvekonto]],Table5[[Konto]:[Kontode alanimetus]],5,FALSE)</f>
        <v>Majandamiskulud</v>
      </c>
      <c r="R1200" s="53" t="str">
        <f>VLOOKUP(Table1[[#This Row],[Tegevusala kood]],Table4[[Tegevusala kood]:[Tegevusala alanimetus]],4,FALSE)</f>
        <v>Eakate sotsiaalhoolekande asutused</v>
      </c>
      <c r="S1200" s="53"/>
      <c r="T1200" s="53"/>
      <c r="U1200" s="53">
        <f>Table1[[#This Row],[Summa]]+Table1[[#This Row],[I Muudatus]]+Table1[[#This Row],[II Muudatus]]</f>
        <v>300</v>
      </c>
    </row>
    <row r="1201" spans="1:21" ht="14.25" hidden="1" customHeight="1" x14ac:dyDescent="0.25">
      <c r="A1201" s="42" t="s">
        <v>164</v>
      </c>
      <c r="B1201" s="42">
        <v>560</v>
      </c>
      <c r="C1201" s="53">
        <v>5515</v>
      </c>
      <c r="D1201" s="53" t="str">
        <f>LEFT(Table1[[#This Row],[Eelarvekonto]],2)</f>
        <v>55</v>
      </c>
      <c r="E1201" s="42" t="str">
        <f>VLOOKUP(Table1[[#This Row],[Eelarvekonto]],Table5[[Konto]:[Konto nimetus]],2,FALSE)</f>
        <v>Inventari majandamiskulud</v>
      </c>
      <c r="F1201" s="42" t="s">
        <v>139</v>
      </c>
      <c r="G1201" s="42" t="s">
        <v>24</v>
      </c>
      <c r="H1201" s="42"/>
      <c r="I1201" s="42"/>
      <c r="J1201" s="42" t="s">
        <v>147</v>
      </c>
      <c r="K1201" s="42" t="s">
        <v>145</v>
      </c>
      <c r="L1201" s="81" t="s">
        <v>146</v>
      </c>
      <c r="M1201" s="82" t="str">
        <f>LEFT(Table1[[#This Row],[Tegevusala kood]],2)</f>
        <v>10</v>
      </c>
      <c r="N1201" s="53" t="str">
        <f>VLOOKUP(Table1[[#This Row],[Tegevusala kood]],Table4[[Tegevusala kood]:[Tegevusala alanimetus]],2,FALSE)</f>
        <v>Ulvi Kodu</v>
      </c>
      <c r="O1201" s="42"/>
      <c r="P1201" s="42"/>
      <c r="Q1201" s="53" t="str">
        <f>VLOOKUP(Table1[[#This Row],[Eelarvekonto]],Table5[[Konto]:[Kontode alanimetus]],5,FALSE)</f>
        <v>Majandamiskulud</v>
      </c>
      <c r="R1201" s="53" t="str">
        <f>VLOOKUP(Table1[[#This Row],[Tegevusala kood]],Table4[[Tegevusala kood]:[Tegevusala alanimetus]],4,FALSE)</f>
        <v>Eakate sotsiaalhoolekande asutused</v>
      </c>
      <c r="S1201" s="53"/>
      <c r="T1201" s="53"/>
      <c r="U1201" s="53">
        <f>Table1[[#This Row],[Summa]]+Table1[[#This Row],[I Muudatus]]+Table1[[#This Row],[II Muudatus]]</f>
        <v>560</v>
      </c>
    </row>
    <row r="1202" spans="1:21" ht="14.25" hidden="1" customHeight="1" x14ac:dyDescent="0.25">
      <c r="A1202" s="42" t="s">
        <v>1315</v>
      </c>
      <c r="B1202" s="42">
        <v>228</v>
      </c>
      <c r="C1202" s="53">
        <v>5514</v>
      </c>
      <c r="D1202" s="53" t="str">
        <f>LEFT(Table1[[#This Row],[Eelarvekonto]],2)</f>
        <v>55</v>
      </c>
      <c r="E1202" s="42" t="str">
        <f>VLOOKUP(Table1[[#This Row],[Eelarvekonto]],Table5[[Konto]:[Konto nimetus]],2,FALSE)</f>
        <v>Info- ja kommunikatsioonitehnoloogia kulud</v>
      </c>
      <c r="F1202" s="42" t="s">
        <v>139</v>
      </c>
      <c r="G1202" s="42" t="s">
        <v>24</v>
      </c>
      <c r="H1202" s="42"/>
      <c r="I1202" s="42"/>
      <c r="J1202" s="42" t="s">
        <v>147</v>
      </c>
      <c r="K1202" s="42" t="s">
        <v>145</v>
      </c>
      <c r="L1202" s="81" t="s">
        <v>146</v>
      </c>
      <c r="M1202" s="82" t="str">
        <f>LEFT(Table1[[#This Row],[Tegevusala kood]],2)</f>
        <v>10</v>
      </c>
      <c r="N1202" s="53" t="str">
        <f>VLOOKUP(Table1[[#This Row],[Tegevusala kood]],Table4[[Tegevusala kood]:[Tegevusala alanimetus]],2,FALSE)</f>
        <v>Ulvi Kodu</v>
      </c>
      <c r="O1202" s="42"/>
      <c r="P1202" s="42"/>
      <c r="Q1202" s="53" t="str">
        <f>VLOOKUP(Table1[[#This Row],[Eelarvekonto]],Table5[[Konto]:[Kontode alanimetus]],5,FALSE)</f>
        <v>Majandamiskulud</v>
      </c>
      <c r="R1202" s="53" t="str">
        <f>VLOOKUP(Table1[[#This Row],[Tegevusala kood]],Table4[[Tegevusala kood]:[Tegevusala alanimetus]],4,FALSE)</f>
        <v>Eakate sotsiaalhoolekande asutused</v>
      </c>
      <c r="S1202" s="53"/>
      <c r="T1202" s="53"/>
      <c r="U1202" s="53">
        <f>Table1[[#This Row],[Summa]]+Table1[[#This Row],[I Muudatus]]+Table1[[#This Row],[II Muudatus]]</f>
        <v>228</v>
      </c>
    </row>
    <row r="1203" spans="1:21" ht="14.25" hidden="1" customHeight="1" x14ac:dyDescent="0.25">
      <c r="A1203" s="42" t="s">
        <v>227</v>
      </c>
      <c r="B1203" s="42">
        <v>28.8</v>
      </c>
      <c r="C1203" s="53">
        <v>5514</v>
      </c>
      <c r="D1203" s="53" t="str">
        <f>LEFT(Table1[[#This Row],[Eelarvekonto]],2)</f>
        <v>55</v>
      </c>
      <c r="E1203" s="42" t="str">
        <f>VLOOKUP(Table1[[#This Row],[Eelarvekonto]],Table5[[Konto]:[Konto nimetus]],2,FALSE)</f>
        <v>Info- ja kommunikatsioonitehnoloogia kulud</v>
      </c>
      <c r="F1203" s="42" t="s">
        <v>139</v>
      </c>
      <c r="G1203" s="42" t="s">
        <v>24</v>
      </c>
      <c r="H1203" s="42"/>
      <c r="I1203" s="42"/>
      <c r="J1203" s="42" t="s">
        <v>147</v>
      </c>
      <c r="K1203" s="42" t="s">
        <v>145</v>
      </c>
      <c r="L1203" s="81" t="s">
        <v>146</v>
      </c>
      <c r="M1203" s="82" t="str">
        <f>LEFT(Table1[[#This Row],[Tegevusala kood]],2)</f>
        <v>10</v>
      </c>
      <c r="N1203" s="53" t="str">
        <f>VLOOKUP(Table1[[#This Row],[Tegevusala kood]],Table4[[Tegevusala kood]:[Tegevusala alanimetus]],2,FALSE)</f>
        <v>Ulvi Kodu</v>
      </c>
      <c r="O1203" s="42"/>
      <c r="P1203" s="42"/>
      <c r="Q1203" s="53" t="str">
        <f>VLOOKUP(Table1[[#This Row],[Eelarvekonto]],Table5[[Konto]:[Kontode alanimetus]],5,FALSE)</f>
        <v>Majandamiskulud</v>
      </c>
      <c r="R1203" s="53" t="str">
        <f>VLOOKUP(Table1[[#This Row],[Tegevusala kood]],Table4[[Tegevusala kood]:[Tegevusala alanimetus]],4,FALSE)</f>
        <v>Eakate sotsiaalhoolekande asutused</v>
      </c>
      <c r="S1203" s="53"/>
      <c r="T1203" s="53"/>
      <c r="U1203" s="53">
        <f>Table1[[#This Row],[Summa]]+Table1[[#This Row],[I Muudatus]]+Table1[[#This Row],[II Muudatus]]</f>
        <v>28.8</v>
      </c>
    </row>
    <row r="1204" spans="1:21" ht="14.25" hidden="1" customHeight="1" x14ac:dyDescent="0.25">
      <c r="A1204" s="42" t="s">
        <v>159</v>
      </c>
      <c r="B1204" s="42">
        <v>370</v>
      </c>
      <c r="C1204" s="53">
        <v>5514</v>
      </c>
      <c r="D1204" s="53" t="str">
        <f>LEFT(Table1[[#This Row],[Eelarvekonto]],2)</f>
        <v>55</v>
      </c>
      <c r="E1204" s="42" t="str">
        <f>VLOOKUP(Table1[[#This Row],[Eelarvekonto]],Table5[[Konto]:[Konto nimetus]],2,FALSE)</f>
        <v>Info- ja kommunikatsioonitehnoloogia kulud</v>
      </c>
      <c r="F1204" s="42" t="s">
        <v>139</v>
      </c>
      <c r="G1204" s="42" t="s">
        <v>24</v>
      </c>
      <c r="H1204" s="42"/>
      <c r="I1204" s="42"/>
      <c r="J1204" s="42" t="s">
        <v>147</v>
      </c>
      <c r="K1204" s="42" t="s">
        <v>145</v>
      </c>
      <c r="L1204" s="81" t="s">
        <v>146</v>
      </c>
      <c r="M1204" s="82" t="str">
        <f>LEFT(Table1[[#This Row],[Tegevusala kood]],2)</f>
        <v>10</v>
      </c>
      <c r="N1204" s="53" t="str">
        <f>VLOOKUP(Table1[[#This Row],[Tegevusala kood]],Table4[[Tegevusala kood]:[Tegevusala alanimetus]],2,FALSE)</f>
        <v>Ulvi Kodu</v>
      </c>
      <c r="O1204" s="42"/>
      <c r="P1204" s="42"/>
      <c r="Q1204" s="53" t="str">
        <f>VLOOKUP(Table1[[#This Row],[Eelarvekonto]],Table5[[Konto]:[Kontode alanimetus]],5,FALSE)</f>
        <v>Majandamiskulud</v>
      </c>
      <c r="R1204" s="53" t="str">
        <f>VLOOKUP(Table1[[#This Row],[Tegevusala kood]],Table4[[Tegevusala kood]:[Tegevusala alanimetus]],4,FALSE)</f>
        <v>Eakate sotsiaalhoolekande asutused</v>
      </c>
      <c r="S1204" s="53"/>
      <c r="T1204" s="53"/>
      <c r="U1204" s="53">
        <f>Table1[[#This Row],[Summa]]+Table1[[#This Row],[I Muudatus]]+Table1[[#This Row],[II Muudatus]]</f>
        <v>370</v>
      </c>
    </row>
    <row r="1205" spans="1:21" ht="14.25" hidden="1" customHeight="1" x14ac:dyDescent="0.25">
      <c r="A1205" s="42" t="s">
        <v>1316</v>
      </c>
      <c r="B1205" s="42">
        <v>100</v>
      </c>
      <c r="C1205" s="53">
        <v>551102</v>
      </c>
      <c r="D1205" s="53" t="str">
        <f>LEFT(Table1[[#This Row],[Eelarvekonto]],2)</f>
        <v>55</v>
      </c>
      <c r="E1205" s="42" t="str">
        <f>VLOOKUP(Table1[[#This Row],[Eelarvekonto]],Table5[[Konto]:[Konto nimetus]],2,FALSE)</f>
        <v>Vesi ja kanalisatsioon</v>
      </c>
      <c r="F1205" s="42" t="s">
        <v>139</v>
      </c>
      <c r="G1205" s="42" t="s">
        <v>24</v>
      </c>
      <c r="H1205" s="42"/>
      <c r="I1205" s="42"/>
      <c r="J1205" s="42" t="s">
        <v>147</v>
      </c>
      <c r="K1205" s="42" t="s">
        <v>145</v>
      </c>
      <c r="L1205" s="81" t="s">
        <v>146</v>
      </c>
      <c r="M1205" s="82" t="str">
        <f>LEFT(Table1[[#This Row],[Tegevusala kood]],2)</f>
        <v>10</v>
      </c>
      <c r="N1205" s="53" t="str">
        <f>VLOOKUP(Table1[[#This Row],[Tegevusala kood]],Table4[[Tegevusala kood]:[Tegevusala alanimetus]],2,FALSE)</f>
        <v>Ulvi Kodu</v>
      </c>
      <c r="O1205" s="42"/>
      <c r="P1205" s="42"/>
      <c r="Q1205" s="53" t="str">
        <f>VLOOKUP(Table1[[#This Row],[Eelarvekonto]],Table5[[Konto]:[Kontode alanimetus]],5,FALSE)</f>
        <v>Majandamiskulud</v>
      </c>
      <c r="R1205" s="53" t="str">
        <f>VLOOKUP(Table1[[#This Row],[Tegevusala kood]],Table4[[Tegevusala kood]:[Tegevusala alanimetus]],4,FALSE)</f>
        <v>Eakate sotsiaalhoolekande asutused</v>
      </c>
      <c r="S1205" s="53"/>
      <c r="T1205" s="53"/>
      <c r="U1205" s="53">
        <f>Table1[[#This Row],[Summa]]+Table1[[#This Row],[I Muudatus]]+Table1[[#This Row],[II Muudatus]]</f>
        <v>100</v>
      </c>
    </row>
    <row r="1206" spans="1:21" ht="14.25" hidden="1" customHeight="1" x14ac:dyDescent="0.25">
      <c r="A1206" s="42" t="s">
        <v>1317</v>
      </c>
      <c r="B1206" s="42">
        <v>2900</v>
      </c>
      <c r="C1206" s="53">
        <v>551102</v>
      </c>
      <c r="D1206" s="53" t="str">
        <f>LEFT(Table1[[#This Row],[Eelarvekonto]],2)</f>
        <v>55</v>
      </c>
      <c r="E1206" s="42" t="str">
        <f>VLOOKUP(Table1[[#This Row],[Eelarvekonto]],Table5[[Konto]:[Konto nimetus]],2,FALSE)</f>
        <v>Vesi ja kanalisatsioon</v>
      </c>
      <c r="F1206" s="42" t="s">
        <v>139</v>
      </c>
      <c r="G1206" s="42" t="s">
        <v>24</v>
      </c>
      <c r="H1206" s="42"/>
      <c r="I1206" s="42"/>
      <c r="J1206" s="42" t="s">
        <v>147</v>
      </c>
      <c r="K1206" s="42" t="s">
        <v>145</v>
      </c>
      <c r="L1206" s="81" t="s">
        <v>146</v>
      </c>
      <c r="M1206" s="82" t="str">
        <f>LEFT(Table1[[#This Row],[Tegevusala kood]],2)</f>
        <v>10</v>
      </c>
      <c r="N1206" s="53" t="str">
        <f>VLOOKUP(Table1[[#This Row],[Tegevusala kood]],Table4[[Tegevusala kood]:[Tegevusala alanimetus]],2,FALSE)</f>
        <v>Ulvi Kodu</v>
      </c>
      <c r="O1206" s="42"/>
      <c r="P1206" s="42"/>
      <c r="Q1206" s="53" t="str">
        <f>VLOOKUP(Table1[[#This Row],[Eelarvekonto]],Table5[[Konto]:[Kontode alanimetus]],5,FALSE)</f>
        <v>Majandamiskulud</v>
      </c>
      <c r="R1206" s="53" t="str">
        <f>VLOOKUP(Table1[[#This Row],[Tegevusala kood]],Table4[[Tegevusala kood]:[Tegevusala alanimetus]],4,FALSE)</f>
        <v>Eakate sotsiaalhoolekande asutused</v>
      </c>
      <c r="S1206" s="53"/>
      <c r="T1206" s="53"/>
      <c r="U1206" s="53">
        <f>Table1[[#This Row],[Summa]]+Table1[[#This Row],[I Muudatus]]+Table1[[#This Row],[II Muudatus]]</f>
        <v>2900</v>
      </c>
    </row>
    <row r="1207" spans="1:21" ht="14.25" hidden="1" customHeight="1" x14ac:dyDescent="0.25">
      <c r="A1207" s="42" t="s">
        <v>149</v>
      </c>
      <c r="B1207" s="42">
        <v>5500</v>
      </c>
      <c r="C1207" s="53">
        <v>551101</v>
      </c>
      <c r="D1207" s="53" t="str">
        <f>LEFT(Table1[[#This Row],[Eelarvekonto]],2)</f>
        <v>55</v>
      </c>
      <c r="E1207" s="42" t="str">
        <f>VLOOKUP(Table1[[#This Row],[Eelarvekonto]],Table5[[Konto]:[Konto nimetus]],2,FALSE)</f>
        <v>Elekter</v>
      </c>
      <c r="F1207" s="42" t="s">
        <v>139</v>
      </c>
      <c r="G1207" s="42" t="s">
        <v>24</v>
      </c>
      <c r="H1207" s="42"/>
      <c r="I1207" s="42"/>
      <c r="J1207" s="42" t="s">
        <v>147</v>
      </c>
      <c r="K1207" s="42" t="s">
        <v>145</v>
      </c>
      <c r="L1207" s="81" t="s">
        <v>146</v>
      </c>
      <c r="M1207" s="82" t="str">
        <f>LEFT(Table1[[#This Row],[Tegevusala kood]],2)</f>
        <v>10</v>
      </c>
      <c r="N1207" s="53" t="str">
        <f>VLOOKUP(Table1[[#This Row],[Tegevusala kood]],Table4[[Tegevusala kood]:[Tegevusala alanimetus]],2,FALSE)</f>
        <v>Ulvi Kodu</v>
      </c>
      <c r="O1207" s="42"/>
      <c r="P1207" s="42"/>
      <c r="Q1207" s="53" t="str">
        <f>VLOOKUP(Table1[[#This Row],[Eelarvekonto]],Table5[[Konto]:[Kontode alanimetus]],5,FALSE)</f>
        <v>Majandamiskulud</v>
      </c>
      <c r="R1207" s="53" t="str">
        <f>VLOOKUP(Table1[[#This Row],[Tegevusala kood]],Table4[[Tegevusala kood]:[Tegevusala alanimetus]],4,FALSE)</f>
        <v>Eakate sotsiaalhoolekande asutused</v>
      </c>
      <c r="S1207" s="53"/>
      <c r="T1207" s="53"/>
      <c r="U1207" s="53">
        <f>Table1[[#This Row],[Summa]]+Table1[[#This Row],[I Muudatus]]+Table1[[#This Row],[II Muudatus]]</f>
        <v>5500</v>
      </c>
    </row>
    <row r="1208" spans="1:21" ht="14.25" hidden="1" customHeight="1" x14ac:dyDescent="0.25">
      <c r="A1208" s="42" t="s">
        <v>148</v>
      </c>
      <c r="B1208" s="42">
        <v>9000</v>
      </c>
      <c r="C1208" s="53">
        <v>551100</v>
      </c>
      <c r="D1208" s="53" t="str">
        <f>LEFT(Table1[[#This Row],[Eelarvekonto]],2)</f>
        <v>55</v>
      </c>
      <c r="E1208" s="42" t="str">
        <f>VLOOKUP(Table1[[#This Row],[Eelarvekonto]],Table5[[Konto]:[Konto nimetus]],2,FALSE)</f>
        <v>Küte ja soojusenergia</v>
      </c>
      <c r="F1208" s="42" t="s">
        <v>139</v>
      </c>
      <c r="G1208" s="42" t="s">
        <v>24</v>
      </c>
      <c r="H1208" s="42"/>
      <c r="I1208" s="42"/>
      <c r="J1208" s="42" t="s">
        <v>147</v>
      </c>
      <c r="K1208" s="42" t="s">
        <v>145</v>
      </c>
      <c r="L1208" s="81" t="s">
        <v>146</v>
      </c>
      <c r="M1208" s="82" t="str">
        <f>LEFT(Table1[[#This Row],[Tegevusala kood]],2)</f>
        <v>10</v>
      </c>
      <c r="N1208" s="53" t="str">
        <f>VLOOKUP(Table1[[#This Row],[Tegevusala kood]],Table4[[Tegevusala kood]:[Tegevusala alanimetus]],2,FALSE)</f>
        <v>Ulvi Kodu</v>
      </c>
      <c r="O1208" s="42"/>
      <c r="P1208" s="42"/>
      <c r="Q1208" s="53" t="str">
        <f>VLOOKUP(Table1[[#This Row],[Eelarvekonto]],Table5[[Konto]:[Kontode alanimetus]],5,FALSE)</f>
        <v>Majandamiskulud</v>
      </c>
      <c r="R1208" s="53" t="str">
        <f>VLOOKUP(Table1[[#This Row],[Tegevusala kood]],Table4[[Tegevusala kood]:[Tegevusala alanimetus]],4,FALSE)</f>
        <v>Eakate sotsiaalhoolekande asutused</v>
      </c>
      <c r="S1208" s="53"/>
      <c r="T1208" s="53"/>
      <c r="U1208" s="53">
        <f>Table1[[#This Row],[Summa]]+Table1[[#This Row],[I Muudatus]]+Table1[[#This Row],[II Muudatus]]</f>
        <v>9000</v>
      </c>
    </row>
    <row r="1209" spans="1:21" ht="14.25" hidden="1" customHeight="1" x14ac:dyDescent="0.25">
      <c r="A1209" s="42" t="s">
        <v>143</v>
      </c>
      <c r="B1209" s="99">
        <v>9330</v>
      </c>
      <c r="C1209" s="53">
        <v>5511</v>
      </c>
      <c r="D1209" s="53" t="str">
        <f>LEFT(Table1[[#This Row],[Eelarvekonto]],2)</f>
        <v>55</v>
      </c>
      <c r="E1209" s="42" t="str">
        <f>VLOOKUP(Table1[[#This Row],[Eelarvekonto]],Table5[[Konto]:[Konto nimetus]],2,FALSE)</f>
        <v>Kinnistute, hoonete ja ruumide majandamiskulud</v>
      </c>
      <c r="F1209" s="42" t="s">
        <v>139</v>
      </c>
      <c r="G1209" s="42" t="s">
        <v>24</v>
      </c>
      <c r="H1209" s="42"/>
      <c r="I1209" s="42"/>
      <c r="J1209" s="42" t="s">
        <v>147</v>
      </c>
      <c r="K1209" s="42" t="s">
        <v>145</v>
      </c>
      <c r="L1209" s="81" t="s">
        <v>146</v>
      </c>
      <c r="M1209" s="82" t="str">
        <f>LEFT(Table1[[#This Row],[Tegevusala kood]],2)</f>
        <v>10</v>
      </c>
      <c r="N1209" s="53" t="str">
        <f>VLOOKUP(Table1[[#This Row],[Tegevusala kood]],Table4[[Tegevusala kood]:[Tegevusala alanimetus]],2,FALSE)</f>
        <v>Ulvi Kodu</v>
      </c>
      <c r="O1209" s="42"/>
      <c r="P1209" s="42"/>
      <c r="Q1209" s="53" t="str">
        <f>VLOOKUP(Table1[[#This Row],[Eelarvekonto]],Table5[[Konto]:[Kontode alanimetus]],5,FALSE)</f>
        <v>Majandamiskulud</v>
      </c>
      <c r="R1209" s="53" t="str">
        <f>VLOOKUP(Table1[[#This Row],[Tegevusala kood]],Table4[[Tegevusala kood]:[Tegevusala alanimetus]],4,FALSE)</f>
        <v>Eakate sotsiaalhoolekande asutused</v>
      </c>
      <c r="S1209" s="53"/>
      <c r="T1209" s="53"/>
      <c r="U1209" s="53">
        <f>Table1[[#This Row],[Summa]]+Table1[[#This Row],[I Muudatus]]+Table1[[#This Row],[II Muudatus]]</f>
        <v>9330</v>
      </c>
    </row>
    <row r="1210" spans="1:21" ht="14.25" hidden="1" customHeight="1" x14ac:dyDescent="0.25">
      <c r="A1210" s="42" t="s">
        <v>140</v>
      </c>
      <c r="B1210" s="42">
        <v>1400</v>
      </c>
      <c r="C1210" s="53">
        <v>5504</v>
      </c>
      <c r="D1210" s="53" t="str">
        <f>LEFT(Table1[[#This Row],[Eelarvekonto]],2)</f>
        <v>55</v>
      </c>
      <c r="E1210" s="42" t="str">
        <f>VLOOKUP(Table1[[#This Row],[Eelarvekonto]],Table5[[Konto]:[Konto nimetus]],2,FALSE)</f>
        <v>Koolituskulud (sh koolituslähetus)</v>
      </c>
      <c r="F1210" s="42" t="s">
        <v>139</v>
      </c>
      <c r="G1210" s="42" t="s">
        <v>24</v>
      </c>
      <c r="H1210" s="42"/>
      <c r="I1210" s="42"/>
      <c r="J1210" s="42" t="s">
        <v>147</v>
      </c>
      <c r="K1210" s="42" t="s">
        <v>145</v>
      </c>
      <c r="L1210" s="81" t="s">
        <v>146</v>
      </c>
      <c r="M1210" s="82" t="str">
        <f>LEFT(Table1[[#This Row],[Tegevusala kood]],2)</f>
        <v>10</v>
      </c>
      <c r="N1210" s="53" t="str">
        <f>VLOOKUP(Table1[[#This Row],[Tegevusala kood]],Table4[[Tegevusala kood]:[Tegevusala alanimetus]],2,FALSE)</f>
        <v>Ulvi Kodu</v>
      </c>
      <c r="O1210" s="42"/>
      <c r="P1210" s="42"/>
      <c r="Q1210" s="53" t="str">
        <f>VLOOKUP(Table1[[#This Row],[Eelarvekonto]],Table5[[Konto]:[Kontode alanimetus]],5,FALSE)</f>
        <v>Majandamiskulud</v>
      </c>
      <c r="R1210" s="53" t="str">
        <f>VLOOKUP(Table1[[#This Row],[Tegevusala kood]],Table4[[Tegevusala kood]:[Tegevusala alanimetus]],4,FALSE)</f>
        <v>Eakate sotsiaalhoolekande asutused</v>
      </c>
      <c r="S1210" s="53"/>
      <c r="T1210" s="53"/>
      <c r="U1210" s="53">
        <f>Table1[[#This Row],[Summa]]+Table1[[#This Row],[I Muudatus]]+Table1[[#This Row],[II Muudatus]]</f>
        <v>1400</v>
      </c>
    </row>
    <row r="1211" spans="1:21" ht="14.25" hidden="1" customHeight="1" x14ac:dyDescent="0.25">
      <c r="A1211" s="42" t="s">
        <v>239</v>
      </c>
      <c r="B1211" s="42">
        <v>100</v>
      </c>
      <c r="C1211" s="53">
        <v>5500</v>
      </c>
      <c r="D1211" s="53" t="str">
        <f>LEFT(Table1[[#This Row],[Eelarvekonto]],2)</f>
        <v>55</v>
      </c>
      <c r="E1211" s="42" t="str">
        <f>VLOOKUP(Table1[[#This Row],[Eelarvekonto]],Table5[[Konto]:[Konto nimetus]],2,FALSE)</f>
        <v>Administreerimiskulud</v>
      </c>
      <c r="F1211" s="42" t="s">
        <v>139</v>
      </c>
      <c r="G1211" s="42" t="s">
        <v>24</v>
      </c>
      <c r="H1211" s="42"/>
      <c r="I1211" s="42"/>
      <c r="J1211" s="42" t="s">
        <v>147</v>
      </c>
      <c r="K1211" s="42" t="s">
        <v>145</v>
      </c>
      <c r="L1211" s="81" t="s">
        <v>146</v>
      </c>
      <c r="M1211" s="82" t="str">
        <f>LEFT(Table1[[#This Row],[Tegevusala kood]],2)</f>
        <v>10</v>
      </c>
      <c r="N1211" s="53" t="str">
        <f>VLOOKUP(Table1[[#This Row],[Tegevusala kood]],Table4[[Tegevusala kood]:[Tegevusala alanimetus]],2,FALSE)</f>
        <v>Ulvi Kodu</v>
      </c>
      <c r="O1211" s="42"/>
      <c r="P1211" s="42"/>
      <c r="Q1211" s="53" t="str">
        <f>VLOOKUP(Table1[[#This Row],[Eelarvekonto]],Table5[[Konto]:[Kontode alanimetus]],5,FALSE)</f>
        <v>Majandamiskulud</v>
      </c>
      <c r="R1211" s="53" t="str">
        <f>VLOOKUP(Table1[[#This Row],[Tegevusala kood]],Table4[[Tegevusala kood]:[Tegevusala alanimetus]],4,FALSE)</f>
        <v>Eakate sotsiaalhoolekande asutused</v>
      </c>
      <c r="S1211" s="53"/>
      <c r="T1211" s="53"/>
      <c r="U1211" s="53">
        <f>Table1[[#This Row],[Summa]]+Table1[[#This Row],[I Muudatus]]+Table1[[#This Row],[II Muudatus]]</f>
        <v>100</v>
      </c>
    </row>
    <row r="1212" spans="1:21" ht="14.25" hidden="1" customHeight="1" x14ac:dyDescent="0.25">
      <c r="A1212" s="42" t="s">
        <v>1318</v>
      </c>
      <c r="B1212" s="42">
        <v>880</v>
      </c>
      <c r="C1212" s="53">
        <v>5005</v>
      </c>
      <c r="D1212" s="53" t="str">
        <f>LEFT(Table1[[#This Row],[Eelarvekonto]],2)</f>
        <v>50</v>
      </c>
      <c r="E1212" s="42" t="str">
        <f>VLOOKUP(Table1[[#This Row],[Eelarvekonto]],Table5[[Konto]:[Konto nimetus]],2,FALSE)</f>
        <v>Töötasud võlaõiguslike lepingute alusel</v>
      </c>
      <c r="F1212" s="42" t="s">
        <v>139</v>
      </c>
      <c r="G1212" s="42" t="s">
        <v>24</v>
      </c>
      <c r="H1212" s="42"/>
      <c r="I1212" s="42"/>
      <c r="J1212" s="42" t="s">
        <v>147</v>
      </c>
      <c r="K1212" s="42" t="s">
        <v>145</v>
      </c>
      <c r="L1212" s="81" t="s">
        <v>146</v>
      </c>
      <c r="M1212" s="82" t="str">
        <f>LEFT(Table1[[#This Row],[Tegevusala kood]],2)</f>
        <v>10</v>
      </c>
      <c r="N1212" s="53" t="str">
        <f>VLOOKUP(Table1[[#This Row],[Tegevusala kood]],Table4[[Tegevusala kood]:[Tegevusala alanimetus]],2,FALSE)</f>
        <v>Ulvi Kodu</v>
      </c>
      <c r="O1212" s="42"/>
      <c r="P1212" s="42"/>
      <c r="Q1212" s="53" t="str">
        <f>VLOOKUP(Table1[[#This Row],[Eelarvekonto]],Table5[[Konto]:[Kontode alanimetus]],5,FALSE)</f>
        <v>Tööjõukulud</v>
      </c>
      <c r="R1212" s="53" t="str">
        <f>VLOOKUP(Table1[[#This Row],[Tegevusala kood]],Table4[[Tegevusala kood]:[Tegevusala alanimetus]],4,FALSE)</f>
        <v>Eakate sotsiaalhoolekande asutused</v>
      </c>
      <c r="S1212" s="53"/>
      <c r="T1212" s="53"/>
      <c r="U1212" s="53">
        <f>Table1[[#This Row],[Summa]]+Table1[[#This Row],[I Muudatus]]+Table1[[#This Row],[II Muudatus]]</f>
        <v>880</v>
      </c>
    </row>
    <row r="1213" spans="1:21" ht="14.25" hidden="1" customHeight="1" x14ac:dyDescent="0.25">
      <c r="A1213" s="42" t="s">
        <v>141</v>
      </c>
      <c r="B1213" s="42">
        <v>3000</v>
      </c>
      <c r="C1213" s="53">
        <v>5525</v>
      </c>
      <c r="D1213" s="53" t="str">
        <f>LEFT(Table1[[#This Row],[Eelarvekonto]],2)</f>
        <v>55</v>
      </c>
      <c r="E1213" s="42" t="str">
        <f>VLOOKUP(Table1[[#This Row],[Eelarvekonto]],Table5[[Konto]:[Konto nimetus]],2,FALSE)</f>
        <v>Kommunikatsiooni-, kultuuri- ja vaba aja sisustamise kulud</v>
      </c>
      <c r="F1213" s="42" t="s">
        <v>139</v>
      </c>
      <c r="G1213" s="42" t="s">
        <v>24</v>
      </c>
      <c r="H1213" s="42"/>
      <c r="I1213" s="42"/>
      <c r="J1213" s="42" t="s">
        <v>191</v>
      </c>
      <c r="K1213" s="42" t="s">
        <v>99</v>
      </c>
      <c r="L1213" s="81" t="s">
        <v>190</v>
      </c>
      <c r="M1213" s="82" t="str">
        <f>LEFT(Table1[[#This Row],[Tegevusala kood]],2)</f>
        <v>08</v>
      </c>
      <c r="N1213" s="53" t="str">
        <f>VLOOKUP(Table1[[#This Row],[Tegevusala kood]],Table4[[Tegevusala kood]:[Tegevusala alanimetus]],2,FALSE)</f>
        <v>Venevere Seltsimaja</v>
      </c>
      <c r="O1213" s="42"/>
      <c r="P1213" s="42"/>
      <c r="Q1213" s="53" t="str">
        <f>VLOOKUP(Table1[[#This Row],[Eelarvekonto]],Table5[[Konto]:[Kontode alanimetus]],5,FALSE)</f>
        <v>Majandamiskulud</v>
      </c>
      <c r="R1213" s="53" t="str">
        <f>VLOOKUP(Table1[[#This Row],[Tegevusala kood]],Table4[[Tegevusala kood]:[Tegevusala alanimetus]],4,FALSE)</f>
        <v>Rahvakultuur</v>
      </c>
      <c r="S1213" s="53"/>
      <c r="T1213" s="53"/>
      <c r="U1213" s="53">
        <f>Table1[[#This Row],[Summa]]+Table1[[#This Row],[I Muudatus]]+Table1[[#This Row],[II Muudatus]]</f>
        <v>3000</v>
      </c>
    </row>
    <row r="1214" spans="1:21" ht="14.25" hidden="1" customHeight="1" x14ac:dyDescent="0.25">
      <c r="A1214" s="42" t="s">
        <v>1319</v>
      </c>
      <c r="B1214" s="42">
        <v>775</v>
      </c>
      <c r="C1214" s="53">
        <v>5514</v>
      </c>
      <c r="D1214" s="53" t="str">
        <f>LEFT(Table1[[#This Row],[Eelarvekonto]],2)</f>
        <v>55</v>
      </c>
      <c r="E1214" s="42" t="str">
        <f>VLOOKUP(Table1[[#This Row],[Eelarvekonto]],Table5[[Konto]:[Konto nimetus]],2,FALSE)</f>
        <v>Info- ja kommunikatsioonitehnoloogia kulud</v>
      </c>
      <c r="F1214" s="42" t="s">
        <v>139</v>
      </c>
      <c r="G1214" s="42" t="s">
        <v>24</v>
      </c>
      <c r="H1214" s="42"/>
      <c r="I1214" s="42"/>
      <c r="J1214" s="42" t="s">
        <v>191</v>
      </c>
      <c r="K1214" s="42" t="s">
        <v>99</v>
      </c>
      <c r="L1214" s="81" t="s">
        <v>190</v>
      </c>
      <c r="M1214" s="82" t="str">
        <f>LEFT(Table1[[#This Row],[Tegevusala kood]],2)</f>
        <v>08</v>
      </c>
      <c r="N1214" s="53" t="str">
        <f>VLOOKUP(Table1[[#This Row],[Tegevusala kood]],Table4[[Tegevusala kood]:[Tegevusala alanimetus]],2,FALSE)</f>
        <v>Venevere Seltsimaja</v>
      </c>
      <c r="O1214" s="42"/>
      <c r="P1214" s="42"/>
      <c r="Q1214" s="53" t="str">
        <f>VLOOKUP(Table1[[#This Row],[Eelarvekonto]],Table5[[Konto]:[Kontode alanimetus]],5,FALSE)</f>
        <v>Majandamiskulud</v>
      </c>
      <c r="R1214" s="53" t="str">
        <f>VLOOKUP(Table1[[#This Row],[Tegevusala kood]],Table4[[Tegevusala kood]:[Tegevusala alanimetus]],4,FALSE)</f>
        <v>Rahvakultuur</v>
      </c>
      <c r="S1214" s="53"/>
      <c r="T1214" s="53"/>
      <c r="U1214" s="53">
        <f>Table1[[#This Row],[Summa]]+Table1[[#This Row],[I Muudatus]]+Table1[[#This Row],[II Muudatus]]</f>
        <v>775</v>
      </c>
    </row>
    <row r="1215" spans="1:21" ht="14.25" hidden="1" customHeight="1" x14ac:dyDescent="0.25">
      <c r="A1215" s="42" t="s">
        <v>197</v>
      </c>
      <c r="B1215" s="42">
        <v>500</v>
      </c>
      <c r="C1215" s="53">
        <v>5513081</v>
      </c>
      <c r="D1215" s="53" t="str">
        <f>LEFT(Table1[[#This Row],[Eelarvekonto]],2)</f>
        <v>55</v>
      </c>
      <c r="E1215" s="42" t="str">
        <f>VLOOKUP(Table1[[#This Row],[Eelarvekonto]],Table5[[Konto]:[Konto nimetus]],2,FALSE)</f>
        <v>Isikliku sõiduauto kompensatsioon</v>
      </c>
      <c r="F1215" s="42" t="s">
        <v>139</v>
      </c>
      <c r="G1215" s="42" t="s">
        <v>24</v>
      </c>
      <c r="H1215" s="42"/>
      <c r="I1215" s="42"/>
      <c r="J1215" s="42" t="s">
        <v>191</v>
      </c>
      <c r="K1215" s="42" t="s">
        <v>99</v>
      </c>
      <c r="L1215" s="81" t="s">
        <v>190</v>
      </c>
      <c r="M1215" s="82" t="str">
        <f>LEFT(Table1[[#This Row],[Tegevusala kood]],2)</f>
        <v>08</v>
      </c>
      <c r="N1215" s="53" t="str">
        <f>VLOOKUP(Table1[[#This Row],[Tegevusala kood]],Table4[[Tegevusala kood]:[Tegevusala alanimetus]],2,FALSE)</f>
        <v>Venevere Seltsimaja</v>
      </c>
      <c r="O1215" s="42"/>
      <c r="P1215" s="42"/>
      <c r="Q1215" s="53" t="str">
        <f>VLOOKUP(Table1[[#This Row],[Eelarvekonto]],Table5[[Konto]:[Kontode alanimetus]],5,FALSE)</f>
        <v>Majandamiskulud</v>
      </c>
      <c r="R1215" s="53" t="str">
        <f>VLOOKUP(Table1[[#This Row],[Tegevusala kood]],Table4[[Tegevusala kood]:[Tegevusala alanimetus]],4,FALSE)</f>
        <v>Rahvakultuur</v>
      </c>
      <c r="S1215" s="53"/>
      <c r="T1215" s="53"/>
      <c r="U1215" s="53">
        <f>Table1[[#This Row],[Summa]]+Table1[[#This Row],[I Muudatus]]+Table1[[#This Row],[II Muudatus]]</f>
        <v>500</v>
      </c>
    </row>
    <row r="1216" spans="1:21" ht="14.25" hidden="1" customHeight="1" x14ac:dyDescent="0.25">
      <c r="A1216" s="42" t="s">
        <v>196</v>
      </c>
      <c r="B1216" s="42">
        <v>1000</v>
      </c>
      <c r="C1216" s="53">
        <v>551100</v>
      </c>
      <c r="D1216" s="53" t="str">
        <f>LEFT(Table1[[#This Row],[Eelarvekonto]],2)</f>
        <v>55</v>
      </c>
      <c r="E1216" s="42" t="str">
        <f>VLOOKUP(Table1[[#This Row],[Eelarvekonto]],Table5[[Konto]:[Konto nimetus]],2,FALSE)</f>
        <v>Küte ja soojusenergia</v>
      </c>
      <c r="F1216" s="42" t="s">
        <v>139</v>
      </c>
      <c r="G1216" s="42" t="s">
        <v>24</v>
      </c>
      <c r="H1216" s="42"/>
      <c r="I1216" s="42"/>
      <c r="J1216" s="42" t="s">
        <v>191</v>
      </c>
      <c r="K1216" s="42" t="s">
        <v>99</v>
      </c>
      <c r="L1216" s="81" t="s">
        <v>190</v>
      </c>
      <c r="M1216" s="82" t="str">
        <f>LEFT(Table1[[#This Row],[Tegevusala kood]],2)</f>
        <v>08</v>
      </c>
      <c r="N1216" s="53" t="str">
        <f>VLOOKUP(Table1[[#This Row],[Tegevusala kood]],Table4[[Tegevusala kood]:[Tegevusala alanimetus]],2,FALSE)</f>
        <v>Venevere Seltsimaja</v>
      </c>
      <c r="O1216" s="42"/>
      <c r="P1216" s="42"/>
      <c r="Q1216" s="53" t="str">
        <f>VLOOKUP(Table1[[#This Row],[Eelarvekonto]],Table5[[Konto]:[Kontode alanimetus]],5,FALSE)</f>
        <v>Majandamiskulud</v>
      </c>
      <c r="R1216" s="53" t="str">
        <f>VLOOKUP(Table1[[#This Row],[Tegevusala kood]],Table4[[Tegevusala kood]:[Tegevusala alanimetus]],4,FALSE)</f>
        <v>Rahvakultuur</v>
      </c>
      <c r="S1216" s="53"/>
      <c r="T1216" s="53"/>
      <c r="U1216" s="53">
        <f>Table1[[#This Row],[Summa]]+Table1[[#This Row],[I Muudatus]]+Table1[[#This Row],[II Muudatus]]</f>
        <v>1000</v>
      </c>
    </row>
    <row r="1217" spans="1:21" ht="14.25" hidden="1" customHeight="1" x14ac:dyDescent="0.25">
      <c r="A1217" s="42" t="s">
        <v>1320</v>
      </c>
      <c r="B1217" s="42">
        <v>120</v>
      </c>
      <c r="C1217" s="53">
        <v>5511</v>
      </c>
      <c r="D1217" s="53" t="str">
        <f>LEFT(Table1[[#This Row],[Eelarvekonto]],2)</f>
        <v>55</v>
      </c>
      <c r="E1217" s="42" t="str">
        <f>VLOOKUP(Table1[[#This Row],[Eelarvekonto]],Table5[[Konto]:[Konto nimetus]],2,FALSE)</f>
        <v>Kinnistute, hoonete ja ruumide majandamiskulud</v>
      </c>
      <c r="F1217" s="42" t="s">
        <v>139</v>
      </c>
      <c r="G1217" s="42" t="s">
        <v>24</v>
      </c>
      <c r="H1217" s="42"/>
      <c r="I1217" s="42"/>
      <c r="J1217" s="42" t="s">
        <v>191</v>
      </c>
      <c r="K1217" s="42" t="s">
        <v>99</v>
      </c>
      <c r="L1217" s="81" t="s">
        <v>190</v>
      </c>
      <c r="M1217" s="82" t="str">
        <f>LEFT(Table1[[#This Row],[Tegevusala kood]],2)</f>
        <v>08</v>
      </c>
      <c r="N1217" s="53" t="str">
        <f>VLOOKUP(Table1[[#This Row],[Tegevusala kood]],Table4[[Tegevusala kood]:[Tegevusala alanimetus]],2,FALSE)</f>
        <v>Venevere Seltsimaja</v>
      </c>
      <c r="O1217" s="42"/>
      <c r="P1217" s="42"/>
      <c r="Q1217" s="53" t="str">
        <f>VLOOKUP(Table1[[#This Row],[Eelarvekonto]],Table5[[Konto]:[Kontode alanimetus]],5,FALSE)</f>
        <v>Majandamiskulud</v>
      </c>
      <c r="R1217" s="53" t="str">
        <f>VLOOKUP(Table1[[#This Row],[Tegevusala kood]],Table4[[Tegevusala kood]:[Tegevusala alanimetus]],4,FALSE)</f>
        <v>Rahvakultuur</v>
      </c>
      <c r="S1217" s="53"/>
      <c r="T1217" s="53"/>
      <c r="U1217" s="53">
        <f>Table1[[#This Row],[Summa]]+Table1[[#This Row],[I Muudatus]]+Table1[[#This Row],[II Muudatus]]</f>
        <v>120</v>
      </c>
    </row>
    <row r="1218" spans="1:21" ht="14.25" hidden="1" customHeight="1" x14ac:dyDescent="0.25">
      <c r="A1218" s="42" t="s">
        <v>1321</v>
      </c>
      <c r="B1218" s="42">
        <v>800</v>
      </c>
      <c r="C1218" s="53">
        <v>5511</v>
      </c>
      <c r="D1218" s="53" t="str">
        <f>LEFT(Table1[[#This Row],[Eelarvekonto]],2)</f>
        <v>55</v>
      </c>
      <c r="E1218" s="42" t="str">
        <f>VLOOKUP(Table1[[#This Row],[Eelarvekonto]],Table5[[Konto]:[Konto nimetus]],2,FALSE)</f>
        <v>Kinnistute, hoonete ja ruumide majandamiskulud</v>
      </c>
      <c r="F1218" s="42" t="s">
        <v>139</v>
      </c>
      <c r="G1218" s="42" t="s">
        <v>24</v>
      </c>
      <c r="H1218" s="42"/>
      <c r="I1218" s="42"/>
      <c r="J1218" s="42" t="s">
        <v>191</v>
      </c>
      <c r="K1218" s="42" t="s">
        <v>99</v>
      </c>
      <c r="L1218" s="81" t="s">
        <v>190</v>
      </c>
      <c r="M1218" s="82" t="str">
        <f>LEFT(Table1[[#This Row],[Tegevusala kood]],2)</f>
        <v>08</v>
      </c>
      <c r="N1218" s="53" t="str">
        <f>VLOOKUP(Table1[[#This Row],[Tegevusala kood]],Table4[[Tegevusala kood]:[Tegevusala alanimetus]],2,FALSE)</f>
        <v>Venevere Seltsimaja</v>
      </c>
      <c r="O1218" s="42"/>
      <c r="P1218" s="42"/>
      <c r="Q1218" s="53" t="str">
        <f>VLOOKUP(Table1[[#This Row],[Eelarvekonto]],Table5[[Konto]:[Kontode alanimetus]],5,FALSE)</f>
        <v>Majandamiskulud</v>
      </c>
      <c r="R1218" s="53" t="str">
        <f>VLOOKUP(Table1[[#This Row],[Tegevusala kood]],Table4[[Tegevusala kood]:[Tegevusala alanimetus]],4,FALSE)</f>
        <v>Rahvakultuur</v>
      </c>
      <c r="S1218" s="53"/>
      <c r="T1218" s="53"/>
      <c r="U1218" s="53">
        <f>Table1[[#This Row],[Summa]]+Table1[[#This Row],[I Muudatus]]+Table1[[#This Row],[II Muudatus]]</f>
        <v>800</v>
      </c>
    </row>
    <row r="1219" spans="1:21" ht="14.25" hidden="1" customHeight="1" x14ac:dyDescent="0.25">
      <c r="A1219" s="42" t="s">
        <v>143</v>
      </c>
      <c r="B1219" s="42">
        <v>1500</v>
      </c>
      <c r="C1219" s="53">
        <v>5511</v>
      </c>
      <c r="D1219" s="53" t="str">
        <f>LEFT(Table1[[#This Row],[Eelarvekonto]],2)</f>
        <v>55</v>
      </c>
      <c r="E1219" s="42" t="str">
        <f>VLOOKUP(Table1[[#This Row],[Eelarvekonto]],Table5[[Konto]:[Konto nimetus]],2,FALSE)</f>
        <v>Kinnistute, hoonete ja ruumide majandamiskulud</v>
      </c>
      <c r="F1219" s="42" t="s">
        <v>139</v>
      </c>
      <c r="G1219" s="42" t="s">
        <v>24</v>
      </c>
      <c r="H1219" s="42"/>
      <c r="I1219" s="42"/>
      <c r="J1219" s="42" t="s">
        <v>191</v>
      </c>
      <c r="K1219" s="42" t="s">
        <v>99</v>
      </c>
      <c r="L1219" s="81" t="s">
        <v>190</v>
      </c>
      <c r="M1219" s="82" t="str">
        <f>LEFT(Table1[[#This Row],[Tegevusala kood]],2)</f>
        <v>08</v>
      </c>
      <c r="N1219" s="53" t="str">
        <f>VLOOKUP(Table1[[#This Row],[Tegevusala kood]],Table4[[Tegevusala kood]:[Tegevusala alanimetus]],2,FALSE)</f>
        <v>Venevere Seltsimaja</v>
      </c>
      <c r="O1219" s="42"/>
      <c r="P1219" s="42"/>
      <c r="Q1219" s="53" t="str">
        <f>VLOOKUP(Table1[[#This Row],[Eelarvekonto]],Table5[[Konto]:[Kontode alanimetus]],5,FALSE)</f>
        <v>Majandamiskulud</v>
      </c>
      <c r="R1219" s="53" t="str">
        <f>VLOOKUP(Table1[[#This Row],[Tegevusala kood]],Table4[[Tegevusala kood]:[Tegevusala alanimetus]],4,FALSE)</f>
        <v>Rahvakultuur</v>
      </c>
      <c r="S1219" s="53"/>
      <c r="T1219" s="53"/>
      <c r="U1219" s="53">
        <f>Table1[[#This Row],[Summa]]+Table1[[#This Row],[I Muudatus]]+Table1[[#This Row],[II Muudatus]]</f>
        <v>1500</v>
      </c>
    </row>
    <row r="1220" spans="1:21" ht="14.25" hidden="1" customHeight="1" x14ac:dyDescent="0.25">
      <c r="A1220" s="42" t="s">
        <v>192</v>
      </c>
      <c r="B1220" s="42">
        <v>50</v>
      </c>
      <c r="C1220" s="53">
        <v>5511</v>
      </c>
      <c r="D1220" s="53" t="str">
        <f>LEFT(Table1[[#This Row],[Eelarvekonto]],2)</f>
        <v>55</v>
      </c>
      <c r="E1220" s="42" t="str">
        <f>VLOOKUP(Table1[[#This Row],[Eelarvekonto]],Table5[[Konto]:[Konto nimetus]],2,FALSE)</f>
        <v>Kinnistute, hoonete ja ruumide majandamiskulud</v>
      </c>
      <c r="F1220" s="42" t="s">
        <v>139</v>
      </c>
      <c r="G1220" s="42" t="s">
        <v>24</v>
      </c>
      <c r="H1220" s="42"/>
      <c r="I1220" s="42"/>
      <c r="J1220" s="42" t="s">
        <v>191</v>
      </c>
      <c r="K1220" s="42" t="s">
        <v>99</v>
      </c>
      <c r="L1220" s="81" t="s">
        <v>190</v>
      </c>
      <c r="M1220" s="82" t="str">
        <f>LEFT(Table1[[#This Row],[Tegevusala kood]],2)</f>
        <v>08</v>
      </c>
      <c r="N1220" s="53" t="str">
        <f>VLOOKUP(Table1[[#This Row],[Tegevusala kood]],Table4[[Tegevusala kood]:[Tegevusala alanimetus]],2,FALSE)</f>
        <v>Venevere Seltsimaja</v>
      </c>
      <c r="O1220" s="42"/>
      <c r="P1220" s="42"/>
      <c r="Q1220" s="53" t="str">
        <f>VLOOKUP(Table1[[#This Row],[Eelarvekonto]],Table5[[Konto]:[Kontode alanimetus]],5,FALSE)</f>
        <v>Majandamiskulud</v>
      </c>
      <c r="R1220" s="53" t="str">
        <f>VLOOKUP(Table1[[#This Row],[Tegevusala kood]],Table4[[Tegevusala kood]:[Tegevusala alanimetus]],4,FALSE)</f>
        <v>Rahvakultuur</v>
      </c>
      <c r="S1220" s="53"/>
      <c r="T1220" s="53"/>
      <c r="U1220" s="53">
        <f>Table1[[#This Row],[Summa]]+Table1[[#This Row],[I Muudatus]]+Table1[[#This Row],[II Muudatus]]</f>
        <v>50</v>
      </c>
    </row>
    <row r="1221" spans="1:21" ht="14.25" hidden="1" customHeight="1" x14ac:dyDescent="0.25">
      <c r="A1221" s="42" t="s">
        <v>1322</v>
      </c>
      <c r="B1221" s="42">
        <v>200</v>
      </c>
      <c r="C1221" s="53">
        <v>5511</v>
      </c>
      <c r="D1221" s="53" t="str">
        <f>LEFT(Table1[[#This Row],[Eelarvekonto]],2)</f>
        <v>55</v>
      </c>
      <c r="E1221" s="42" t="str">
        <f>VLOOKUP(Table1[[#This Row],[Eelarvekonto]],Table5[[Konto]:[Konto nimetus]],2,FALSE)</f>
        <v>Kinnistute, hoonete ja ruumide majandamiskulud</v>
      </c>
      <c r="F1221" s="42" t="s">
        <v>139</v>
      </c>
      <c r="G1221" s="42" t="s">
        <v>24</v>
      </c>
      <c r="H1221" s="42"/>
      <c r="I1221" s="42"/>
      <c r="J1221" s="42" t="s">
        <v>191</v>
      </c>
      <c r="K1221" s="42" t="s">
        <v>99</v>
      </c>
      <c r="L1221" s="81" t="s">
        <v>190</v>
      </c>
      <c r="M1221" s="82" t="str">
        <f>LEFT(Table1[[#This Row],[Tegevusala kood]],2)</f>
        <v>08</v>
      </c>
      <c r="N1221" s="53" t="str">
        <f>VLOOKUP(Table1[[#This Row],[Tegevusala kood]],Table4[[Tegevusala kood]:[Tegevusala alanimetus]],2,FALSE)</f>
        <v>Venevere Seltsimaja</v>
      </c>
      <c r="O1221" s="42"/>
      <c r="P1221" s="42"/>
      <c r="Q1221" s="53" t="str">
        <f>VLOOKUP(Table1[[#This Row],[Eelarvekonto]],Table5[[Konto]:[Kontode alanimetus]],5,FALSE)</f>
        <v>Majandamiskulud</v>
      </c>
      <c r="R1221" s="53" t="str">
        <f>VLOOKUP(Table1[[#This Row],[Tegevusala kood]],Table4[[Tegevusala kood]:[Tegevusala alanimetus]],4,FALSE)</f>
        <v>Rahvakultuur</v>
      </c>
      <c r="S1221" s="53"/>
      <c r="T1221" s="53"/>
      <c r="U1221" s="53">
        <f>Table1[[#This Row],[Summa]]+Table1[[#This Row],[I Muudatus]]+Table1[[#This Row],[II Muudatus]]</f>
        <v>200</v>
      </c>
    </row>
    <row r="1222" spans="1:21" ht="14.25" hidden="1" customHeight="1" x14ac:dyDescent="0.25">
      <c r="A1222" s="42" t="s">
        <v>140</v>
      </c>
      <c r="B1222" s="42">
        <v>100</v>
      </c>
      <c r="C1222" s="53">
        <v>5504</v>
      </c>
      <c r="D1222" s="53" t="str">
        <f>LEFT(Table1[[#This Row],[Eelarvekonto]],2)</f>
        <v>55</v>
      </c>
      <c r="E1222" s="42" t="str">
        <f>VLOOKUP(Table1[[#This Row],[Eelarvekonto]],Table5[[Konto]:[Konto nimetus]],2,FALSE)</f>
        <v>Koolituskulud (sh koolituslähetus)</v>
      </c>
      <c r="F1222" s="42" t="s">
        <v>139</v>
      </c>
      <c r="G1222" s="42" t="s">
        <v>24</v>
      </c>
      <c r="H1222" s="42"/>
      <c r="I1222" s="42"/>
      <c r="J1222" s="42" t="s">
        <v>191</v>
      </c>
      <c r="K1222" s="42" t="s">
        <v>99</v>
      </c>
      <c r="L1222" s="81" t="s">
        <v>190</v>
      </c>
      <c r="M1222" s="82" t="str">
        <f>LEFT(Table1[[#This Row],[Tegevusala kood]],2)</f>
        <v>08</v>
      </c>
      <c r="N1222" s="53" t="str">
        <f>VLOOKUP(Table1[[#This Row],[Tegevusala kood]],Table4[[Tegevusala kood]:[Tegevusala alanimetus]],2,FALSE)</f>
        <v>Venevere Seltsimaja</v>
      </c>
      <c r="O1222" s="42"/>
      <c r="P1222" s="42"/>
      <c r="Q1222" s="53" t="str">
        <f>VLOOKUP(Table1[[#This Row],[Eelarvekonto]],Table5[[Konto]:[Kontode alanimetus]],5,FALSE)</f>
        <v>Majandamiskulud</v>
      </c>
      <c r="R1222" s="53" t="str">
        <f>VLOOKUP(Table1[[#This Row],[Tegevusala kood]],Table4[[Tegevusala kood]:[Tegevusala alanimetus]],4,FALSE)</f>
        <v>Rahvakultuur</v>
      </c>
      <c r="S1222" s="53"/>
      <c r="T1222" s="53"/>
      <c r="U1222" s="53">
        <f>Table1[[#This Row],[Summa]]+Table1[[#This Row],[I Muudatus]]+Table1[[#This Row],[II Muudatus]]</f>
        <v>100</v>
      </c>
    </row>
    <row r="1223" spans="1:21" ht="14.25" hidden="1" customHeight="1" x14ac:dyDescent="0.25">
      <c r="A1223" s="42" t="s">
        <v>144</v>
      </c>
      <c r="B1223" s="42">
        <v>300</v>
      </c>
      <c r="C1223" s="53">
        <v>5500</v>
      </c>
      <c r="D1223" s="53" t="str">
        <f>LEFT(Table1[[#This Row],[Eelarvekonto]],2)</f>
        <v>55</v>
      </c>
      <c r="E1223" s="42" t="str">
        <f>VLOOKUP(Table1[[#This Row],[Eelarvekonto]],Table5[[Konto]:[Konto nimetus]],2,FALSE)</f>
        <v>Administreerimiskulud</v>
      </c>
      <c r="F1223" s="42" t="s">
        <v>139</v>
      </c>
      <c r="G1223" s="42" t="s">
        <v>24</v>
      </c>
      <c r="H1223" s="42"/>
      <c r="I1223" s="42"/>
      <c r="J1223" s="42" t="s">
        <v>191</v>
      </c>
      <c r="K1223" s="42" t="s">
        <v>99</v>
      </c>
      <c r="L1223" s="81" t="s">
        <v>190</v>
      </c>
      <c r="M1223" s="82" t="str">
        <f>LEFT(Table1[[#This Row],[Tegevusala kood]],2)</f>
        <v>08</v>
      </c>
      <c r="N1223" s="53" t="str">
        <f>VLOOKUP(Table1[[#This Row],[Tegevusala kood]],Table4[[Tegevusala kood]:[Tegevusala alanimetus]],2,FALSE)</f>
        <v>Venevere Seltsimaja</v>
      </c>
      <c r="O1223" s="42"/>
      <c r="P1223" s="42"/>
      <c r="Q1223" s="53" t="str">
        <f>VLOOKUP(Table1[[#This Row],[Eelarvekonto]],Table5[[Konto]:[Kontode alanimetus]],5,FALSE)</f>
        <v>Majandamiskulud</v>
      </c>
      <c r="R1223" s="53" t="str">
        <f>VLOOKUP(Table1[[#This Row],[Tegevusala kood]],Table4[[Tegevusala kood]:[Tegevusala alanimetus]],4,FALSE)</f>
        <v>Rahvakultuur</v>
      </c>
      <c r="S1223" s="53"/>
      <c r="T1223" s="53"/>
      <c r="U1223" s="53">
        <f>Table1[[#This Row],[Summa]]+Table1[[#This Row],[I Muudatus]]+Table1[[#This Row],[II Muudatus]]</f>
        <v>300</v>
      </c>
    </row>
    <row r="1224" spans="1:21" ht="14.25" hidden="1" customHeight="1" x14ac:dyDescent="0.25">
      <c r="A1224" s="42" t="s">
        <v>1323</v>
      </c>
      <c r="B1224" s="42">
        <v>250</v>
      </c>
      <c r="C1224" s="53">
        <v>5500</v>
      </c>
      <c r="D1224" s="53" t="str">
        <f>LEFT(Table1[[#This Row],[Eelarvekonto]],2)</f>
        <v>55</v>
      </c>
      <c r="E1224" s="42" t="str">
        <f>VLOOKUP(Table1[[#This Row],[Eelarvekonto]],Table5[[Konto]:[Konto nimetus]],2,FALSE)</f>
        <v>Administreerimiskulud</v>
      </c>
      <c r="F1224" s="42" t="s">
        <v>139</v>
      </c>
      <c r="G1224" s="42" t="s">
        <v>24</v>
      </c>
      <c r="H1224" s="42"/>
      <c r="I1224" s="42"/>
      <c r="J1224" s="42" t="s">
        <v>235</v>
      </c>
      <c r="K1224" s="42" t="s">
        <v>234</v>
      </c>
      <c r="L1224" s="81" t="s">
        <v>233</v>
      </c>
      <c r="M1224" s="82" t="str">
        <f>LEFT(Table1[[#This Row],[Tegevusala kood]],2)</f>
        <v>08</v>
      </c>
      <c r="N1224" s="53" t="str">
        <f>VLOOKUP(Table1[[#This Row],[Tegevusala kood]],Table4[[Tegevusala kood]:[Tegevusala alanimetus]],2,FALSE)</f>
        <v>Vinni-Pajusti Raamatukogu</v>
      </c>
      <c r="O1224" s="42"/>
      <c r="P1224" s="42"/>
      <c r="Q1224" s="53" t="str">
        <f>VLOOKUP(Table1[[#This Row],[Eelarvekonto]],Table5[[Konto]:[Kontode alanimetus]],5,FALSE)</f>
        <v>Majandamiskulud</v>
      </c>
      <c r="R1224" s="53" t="str">
        <f>VLOOKUP(Table1[[#This Row],[Tegevusala kood]],Table4[[Tegevusala kood]:[Tegevusala alanimetus]],4,FALSE)</f>
        <v>Raamatukogud</v>
      </c>
      <c r="S1224" s="53"/>
      <c r="T1224" s="53"/>
      <c r="U1224" s="53">
        <f>Table1[[#This Row],[Summa]]+Table1[[#This Row],[I Muudatus]]+Table1[[#This Row],[II Muudatus]]</f>
        <v>250</v>
      </c>
    </row>
    <row r="1225" spans="1:21" ht="14.25" hidden="1" customHeight="1" x14ac:dyDescent="0.25">
      <c r="A1225" s="42" t="s">
        <v>221</v>
      </c>
      <c r="B1225" s="42">
        <v>90</v>
      </c>
      <c r="C1225" s="53">
        <v>5500</v>
      </c>
      <c r="D1225" s="53" t="str">
        <f>LEFT(Table1[[#This Row],[Eelarvekonto]],2)</f>
        <v>55</v>
      </c>
      <c r="E1225" s="42" t="str">
        <f>VLOOKUP(Table1[[#This Row],[Eelarvekonto]],Table5[[Konto]:[Konto nimetus]],2,FALSE)</f>
        <v>Administreerimiskulud</v>
      </c>
      <c r="F1225" s="42" t="s">
        <v>139</v>
      </c>
      <c r="G1225" s="42" t="s">
        <v>24</v>
      </c>
      <c r="H1225" s="42"/>
      <c r="I1225" s="42"/>
      <c r="J1225" s="42" t="s">
        <v>235</v>
      </c>
      <c r="K1225" s="42" t="s">
        <v>234</v>
      </c>
      <c r="L1225" s="81" t="s">
        <v>233</v>
      </c>
      <c r="M1225" s="82" t="str">
        <f>LEFT(Table1[[#This Row],[Tegevusala kood]],2)</f>
        <v>08</v>
      </c>
      <c r="N1225" s="53" t="str">
        <f>VLOOKUP(Table1[[#This Row],[Tegevusala kood]],Table4[[Tegevusala kood]:[Tegevusala alanimetus]],2,FALSE)</f>
        <v>Vinni-Pajusti Raamatukogu</v>
      </c>
      <c r="O1225" s="42"/>
      <c r="P1225" s="42"/>
      <c r="Q1225" s="53" t="str">
        <f>VLOOKUP(Table1[[#This Row],[Eelarvekonto]],Table5[[Konto]:[Kontode alanimetus]],5,FALSE)</f>
        <v>Majandamiskulud</v>
      </c>
      <c r="R1225" s="53" t="str">
        <f>VLOOKUP(Table1[[#This Row],[Tegevusala kood]],Table4[[Tegevusala kood]:[Tegevusala alanimetus]],4,FALSE)</f>
        <v>Raamatukogud</v>
      </c>
      <c r="S1225" s="53"/>
      <c r="T1225" s="53"/>
      <c r="U1225" s="53">
        <f>Table1[[#This Row],[Summa]]+Table1[[#This Row],[I Muudatus]]+Table1[[#This Row],[II Muudatus]]</f>
        <v>90</v>
      </c>
    </row>
    <row r="1226" spans="1:21" ht="14.25" hidden="1" customHeight="1" x14ac:dyDescent="0.25">
      <c r="A1226" s="42" t="s">
        <v>1324</v>
      </c>
      <c r="B1226" s="42">
        <v>35</v>
      </c>
      <c r="C1226" s="53">
        <v>5511</v>
      </c>
      <c r="D1226" s="53" t="str">
        <f>LEFT(Table1[[#This Row],[Eelarvekonto]],2)</f>
        <v>55</v>
      </c>
      <c r="E1226" s="42" t="str">
        <f>VLOOKUP(Table1[[#This Row],[Eelarvekonto]],Table5[[Konto]:[Konto nimetus]],2,FALSE)</f>
        <v>Kinnistute, hoonete ja ruumide majandamiskulud</v>
      </c>
      <c r="F1226" s="42" t="s">
        <v>139</v>
      </c>
      <c r="G1226" s="42" t="s">
        <v>24</v>
      </c>
      <c r="H1226" s="42"/>
      <c r="I1226" s="42"/>
      <c r="J1226" s="42" t="s">
        <v>235</v>
      </c>
      <c r="K1226" s="42" t="s">
        <v>234</v>
      </c>
      <c r="L1226" s="81" t="s">
        <v>233</v>
      </c>
      <c r="M1226" s="82" t="str">
        <f>LEFT(Table1[[#This Row],[Tegevusala kood]],2)</f>
        <v>08</v>
      </c>
      <c r="N1226" s="53" t="str">
        <f>VLOOKUP(Table1[[#This Row],[Tegevusala kood]],Table4[[Tegevusala kood]:[Tegevusala alanimetus]],2,FALSE)</f>
        <v>Vinni-Pajusti Raamatukogu</v>
      </c>
      <c r="O1226" s="42"/>
      <c r="P1226" s="42"/>
      <c r="Q1226" s="53" t="str">
        <f>VLOOKUP(Table1[[#This Row],[Eelarvekonto]],Table5[[Konto]:[Kontode alanimetus]],5,FALSE)</f>
        <v>Majandamiskulud</v>
      </c>
      <c r="R1226" s="53" t="str">
        <f>VLOOKUP(Table1[[#This Row],[Tegevusala kood]],Table4[[Tegevusala kood]:[Tegevusala alanimetus]],4,FALSE)</f>
        <v>Raamatukogud</v>
      </c>
      <c r="S1226" s="53"/>
      <c r="T1226" s="53"/>
      <c r="U1226" s="53">
        <f>Table1[[#This Row],[Summa]]+Table1[[#This Row],[I Muudatus]]+Table1[[#This Row],[II Muudatus]]</f>
        <v>35</v>
      </c>
    </row>
    <row r="1227" spans="1:21" ht="14.25" hidden="1" customHeight="1" x14ac:dyDescent="0.25">
      <c r="A1227" s="42" t="s">
        <v>327</v>
      </c>
      <c r="B1227" s="42">
        <v>800</v>
      </c>
      <c r="C1227" s="53">
        <v>5540</v>
      </c>
      <c r="D1227" s="53" t="str">
        <f>LEFT(Table1[[#This Row],[Eelarvekonto]],2)</f>
        <v>55</v>
      </c>
      <c r="E1227" s="42" t="str">
        <f>VLOOKUP(Table1[[#This Row],[Eelarvekonto]],Table5[[Konto]:[Konto nimetus]],2,FALSE)</f>
        <v>Mitmesugused majanduskulud</v>
      </c>
      <c r="F1227" s="42" t="s">
        <v>139</v>
      </c>
      <c r="G1227" s="42" t="s">
        <v>24</v>
      </c>
      <c r="H1227" s="42"/>
      <c r="I1227" s="42"/>
      <c r="J1227" s="42" t="s">
        <v>235</v>
      </c>
      <c r="K1227" s="42" t="s">
        <v>234</v>
      </c>
      <c r="L1227" s="81" t="s">
        <v>233</v>
      </c>
      <c r="M1227" s="82" t="str">
        <f>LEFT(Table1[[#This Row],[Tegevusala kood]],2)</f>
        <v>08</v>
      </c>
      <c r="N1227" s="53" t="str">
        <f>VLOOKUP(Table1[[#This Row],[Tegevusala kood]],Table4[[Tegevusala kood]:[Tegevusala alanimetus]],2,FALSE)</f>
        <v>Vinni-Pajusti Raamatukogu</v>
      </c>
      <c r="O1227" s="42"/>
      <c r="P1227" s="42"/>
      <c r="Q1227" s="53" t="str">
        <f>VLOOKUP(Table1[[#This Row],[Eelarvekonto]],Table5[[Konto]:[Kontode alanimetus]],5,FALSE)</f>
        <v>Majandamiskulud</v>
      </c>
      <c r="R1227" s="53" t="str">
        <f>VLOOKUP(Table1[[#This Row],[Tegevusala kood]],Table4[[Tegevusala kood]:[Tegevusala alanimetus]],4,FALSE)</f>
        <v>Raamatukogud</v>
      </c>
      <c r="S1227" s="53"/>
      <c r="T1227" s="53"/>
      <c r="U1227" s="53">
        <f>Table1[[#This Row],[Summa]]+Table1[[#This Row],[I Muudatus]]+Table1[[#This Row],[II Muudatus]]</f>
        <v>800</v>
      </c>
    </row>
    <row r="1228" spans="1:21" ht="14.25" hidden="1" customHeight="1" x14ac:dyDescent="0.25">
      <c r="A1228" s="42" t="s">
        <v>141</v>
      </c>
      <c r="B1228" s="42">
        <v>400</v>
      </c>
      <c r="C1228" s="53">
        <v>5525</v>
      </c>
      <c r="D1228" s="53" t="str">
        <f>LEFT(Table1[[#This Row],[Eelarvekonto]],2)</f>
        <v>55</v>
      </c>
      <c r="E1228" s="42" t="str">
        <f>VLOOKUP(Table1[[#This Row],[Eelarvekonto]],Table5[[Konto]:[Konto nimetus]],2,FALSE)</f>
        <v>Kommunikatsiooni-, kultuuri- ja vaba aja sisustamise kulud</v>
      </c>
      <c r="F1228" s="42" t="s">
        <v>139</v>
      </c>
      <c r="G1228" s="42" t="s">
        <v>24</v>
      </c>
      <c r="H1228" s="42"/>
      <c r="I1228" s="42"/>
      <c r="J1228" s="42" t="s">
        <v>235</v>
      </c>
      <c r="K1228" s="42" t="s">
        <v>234</v>
      </c>
      <c r="L1228" s="81" t="s">
        <v>233</v>
      </c>
      <c r="M1228" s="82" t="str">
        <f>LEFT(Table1[[#This Row],[Tegevusala kood]],2)</f>
        <v>08</v>
      </c>
      <c r="N1228" s="53" t="str">
        <f>VLOOKUP(Table1[[#This Row],[Tegevusala kood]],Table4[[Tegevusala kood]:[Tegevusala alanimetus]],2,FALSE)</f>
        <v>Vinni-Pajusti Raamatukogu</v>
      </c>
      <c r="O1228" s="42"/>
      <c r="P1228" s="42"/>
      <c r="Q1228" s="53" t="str">
        <f>VLOOKUP(Table1[[#This Row],[Eelarvekonto]],Table5[[Konto]:[Kontode alanimetus]],5,FALSE)</f>
        <v>Majandamiskulud</v>
      </c>
      <c r="R1228" s="53" t="str">
        <f>VLOOKUP(Table1[[#This Row],[Tegevusala kood]],Table4[[Tegevusala kood]:[Tegevusala alanimetus]],4,FALSE)</f>
        <v>Raamatukogud</v>
      </c>
      <c r="S1228" s="53"/>
      <c r="T1228" s="53"/>
      <c r="U1228" s="53">
        <f>Table1[[#This Row],[Summa]]+Table1[[#This Row],[I Muudatus]]+Table1[[#This Row],[II Muudatus]]</f>
        <v>400</v>
      </c>
    </row>
    <row r="1229" spans="1:21" ht="14.25" hidden="1" customHeight="1" x14ac:dyDescent="0.25">
      <c r="A1229" s="42" t="s">
        <v>232</v>
      </c>
      <c r="B1229" s="42">
        <v>7200</v>
      </c>
      <c r="C1229" s="53">
        <v>5523</v>
      </c>
      <c r="D1229" s="53" t="str">
        <f>LEFT(Table1[[#This Row],[Eelarvekonto]],2)</f>
        <v>55</v>
      </c>
      <c r="E1229" s="42" t="str">
        <f>VLOOKUP(Table1[[#This Row],[Eelarvekonto]],Table5[[Konto]:[Konto nimetus]],2,FALSE)</f>
        <v>Teavikute ja kunstiesemete kulud</v>
      </c>
      <c r="F1229" s="42" t="s">
        <v>139</v>
      </c>
      <c r="G1229" s="42" t="s">
        <v>24</v>
      </c>
      <c r="H1229" s="42"/>
      <c r="I1229" s="42"/>
      <c r="J1229" s="42" t="s">
        <v>235</v>
      </c>
      <c r="K1229" s="42" t="s">
        <v>234</v>
      </c>
      <c r="L1229" s="81" t="s">
        <v>233</v>
      </c>
      <c r="M1229" s="82" t="str">
        <f>LEFT(Table1[[#This Row],[Tegevusala kood]],2)</f>
        <v>08</v>
      </c>
      <c r="N1229" s="53" t="str">
        <f>VLOOKUP(Table1[[#This Row],[Tegevusala kood]],Table4[[Tegevusala kood]:[Tegevusala alanimetus]],2,FALSE)</f>
        <v>Vinni-Pajusti Raamatukogu</v>
      </c>
      <c r="O1229" s="42"/>
      <c r="P1229" s="42"/>
      <c r="Q1229" s="53" t="str">
        <f>VLOOKUP(Table1[[#This Row],[Eelarvekonto]],Table5[[Konto]:[Kontode alanimetus]],5,FALSE)</f>
        <v>Majandamiskulud</v>
      </c>
      <c r="R1229" s="53" t="str">
        <f>VLOOKUP(Table1[[#This Row],[Tegevusala kood]],Table4[[Tegevusala kood]:[Tegevusala alanimetus]],4,FALSE)</f>
        <v>Raamatukogud</v>
      </c>
      <c r="S1229" s="53"/>
      <c r="T1229" s="53"/>
      <c r="U1229" s="53">
        <f>Table1[[#This Row],[Summa]]+Table1[[#This Row],[I Muudatus]]+Table1[[#This Row],[II Muudatus]]</f>
        <v>7200</v>
      </c>
    </row>
    <row r="1230" spans="1:21" ht="14.25" hidden="1" customHeight="1" x14ac:dyDescent="0.25">
      <c r="A1230" s="42" t="s">
        <v>143</v>
      </c>
      <c r="B1230" s="42">
        <v>150</v>
      </c>
      <c r="C1230" s="53">
        <v>5511</v>
      </c>
      <c r="D1230" s="53" t="str">
        <f>LEFT(Table1[[#This Row],[Eelarvekonto]],2)</f>
        <v>55</v>
      </c>
      <c r="E1230" s="42" t="str">
        <f>VLOOKUP(Table1[[#This Row],[Eelarvekonto]],Table5[[Konto]:[Konto nimetus]],2,FALSE)</f>
        <v>Kinnistute, hoonete ja ruumide majandamiskulud</v>
      </c>
      <c r="F1230" s="42" t="s">
        <v>139</v>
      </c>
      <c r="G1230" s="42" t="s">
        <v>24</v>
      </c>
      <c r="H1230" s="42"/>
      <c r="I1230" s="42"/>
      <c r="J1230" s="42" t="s">
        <v>235</v>
      </c>
      <c r="K1230" s="42" t="s">
        <v>234</v>
      </c>
      <c r="L1230" s="81" t="s">
        <v>233</v>
      </c>
      <c r="M1230" s="82" t="str">
        <f>LEFT(Table1[[#This Row],[Tegevusala kood]],2)</f>
        <v>08</v>
      </c>
      <c r="N1230" s="53" t="str">
        <f>VLOOKUP(Table1[[#This Row],[Tegevusala kood]],Table4[[Tegevusala kood]:[Tegevusala alanimetus]],2,FALSE)</f>
        <v>Vinni-Pajusti Raamatukogu</v>
      </c>
      <c r="O1230" s="42"/>
      <c r="P1230" s="42"/>
      <c r="Q1230" s="53" t="str">
        <f>VLOOKUP(Table1[[#This Row],[Eelarvekonto]],Table5[[Konto]:[Kontode alanimetus]],5,FALSE)</f>
        <v>Majandamiskulud</v>
      </c>
      <c r="R1230" s="53" t="str">
        <f>VLOOKUP(Table1[[#This Row],[Tegevusala kood]],Table4[[Tegevusala kood]:[Tegevusala alanimetus]],4,FALSE)</f>
        <v>Raamatukogud</v>
      </c>
      <c r="S1230" s="53"/>
      <c r="T1230" s="53"/>
      <c r="U1230" s="53">
        <f>Table1[[#This Row],[Summa]]+Table1[[#This Row],[I Muudatus]]+Table1[[#This Row],[II Muudatus]]</f>
        <v>150</v>
      </c>
    </row>
    <row r="1231" spans="1:21" ht="14.25" hidden="1" customHeight="1" x14ac:dyDescent="0.25">
      <c r="A1231" s="42" t="s">
        <v>140</v>
      </c>
      <c r="B1231" s="42">
        <v>350</v>
      </c>
      <c r="C1231" s="53">
        <v>5504</v>
      </c>
      <c r="D1231" s="53" t="str">
        <f>LEFT(Table1[[#This Row],[Eelarvekonto]],2)</f>
        <v>55</v>
      </c>
      <c r="E1231" s="42" t="str">
        <f>VLOOKUP(Table1[[#This Row],[Eelarvekonto]],Table5[[Konto]:[Konto nimetus]],2,FALSE)</f>
        <v>Koolituskulud (sh koolituslähetus)</v>
      </c>
      <c r="F1231" s="42" t="s">
        <v>139</v>
      </c>
      <c r="G1231" s="42" t="s">
        <v>24</v>
      </c>
      <c r="H1231" s="42"/>
      <c r="I1231" s="42"/>
      <c r="J1231" s="42" t="s">
        <v>235</v>
      </c>
      <c r="K1231" s="42" t="s">
        <v>234</v>
      </c>
      <c r="L1231" s="81" t="s">
        <v>233</v>
      </c>
      <c r="M1231" s="82" t="str">
        <f>LEFT(Table1[[#This Row],[Tegevusala kood]],2)</f>
        <v>08</v>
      </c>
      <c r="N1231" s="53" t="str">
        <f>VLOOKUP(Table1[[#This Row],[Tegevusala kood]],Table4[[Tegevusala kood]:[Tegevusala alanimetus]],2,FALSE)</f>
        <v>Vinni-Pajusti Raamatukogu</v>
      </c>
      <c r="O1231" s="42"/>
      <c r="P1231" s="42"/>
      <c r="Q1231" s="53" t="str">
        <f>VLOOKUP(Table1[[#This Row],[Eelarvekonto]],Table5[[Konto]:[Kontode alanimetus]],5,FALSE)</f>
        <v>Majandamiskulud</v>
      </c>
      <c r="R1231" s="53" t="str">
        <f>VLOOKUP(Table1[[#This Row],[Tegevusala kood]],Table4[[Tegevusala kood]:[Tegevusala alanimetus]],4,FALSE)</f>
        <v>Raamatukogud</v>
      </c>
      <c r="S1231" s="53"/>
      <c r="T1231" s="53"/>
      <c r="U1231" s="53">
        <f>Table1[[#This Row],[Summa]]+Table1[[#This Row],[I Muudatus]]+Table1[[#This Row],[II Muudatus]]</f>
        <v>350</v>
      </c>
    </row>
    <row r="1232" spans="1:21" ht="14.25" hidden="1" customHeight="1" x14ac:dyDescent="0.25">
      <c r="A1232" s="42" t="s">
        <v>236</v>
      </c>
      <c r="B1232" s="42">
        <v>2600</v>
      </c>
      <c r="C1232" s="53">
        <v>5500</v>
      </c>
      <c r="D1232" s="53" t="str">
        <f>LEFT(Table1[[#This Row],[Eelarvekonto]],2)</f>
        <v>55</v>
      </c>
      <c r="E1232" s="42" t="str">
        <f>VLOOKUP(Table1[[#This Row],[Eelarvekonto]],Table5[[Konto]:[Konto nimetus]],2,FALSE)</f>
        <v>Administreerimiskulud</v>
      </c>
      <c r="F1232" s="42" t="s">
        <v>139</v>
      </c>
      <c r="G1232" s="42" t="s">
        <v>24</v>
      </c>
      <c r="H1232" s="42"/>
      <c r="I1232" s="42"/>
      <c r="J1232" s="42" t="s">
        <v>235</v>
      </c>
      <c r="K1232" s="42" t="s">
        <v>234</v>
      </c>
      <c r="L1232" s="81" t="s">
        <v>233</v>
      </c>
      <c r="M1232" s="82" t="str">
        <f>LEFT(Table1[[#This Row],[Tegevusala kood]],2)</f>
        <v>08</v>
      </c>
      <c r="N1232" s="53" t="str">
        <f>VLOOKUP(Table1[[#This Row],[Tegevusala kood]],Table4[[Tegevusala kood]:[Tegevusala alanimetus]],2,FALSE)</f>
        <v>Vinni-Pajusti Raamatukogu</v>
      </c>
      <c r="O1232" s="42"/>
      <c r="P1232" s="42"/>
      <c r="Q1232" s="53" t="str">
        <f>VLOOKUP(Table1[[#This Row],[Eelarvekonto]],Table5[[Konto]:[Kontode alanimetus]],5,FALSE)</f>
        <v>Majandamiskulud</v>
      </c>
      <c r="R1232" s="53" t="str">
        <f>VLOOKUP(Table1[[#This Row],[Tegevusala kood]],Table4[[Tegevusala kood]:[Tegevusala alanimetus]],4,FALSE)</f>
        <v>Raamatukogud</v>
      </c>
      <c r="S1232" s="53"/>
      <c r="T1232" s="53"/>
      <c r="U1232" s="53">
        <f>Table1[[#This Row],[Summa]]+Table1[[#This Row],[I Muudatus]]+Table1[[#This Row],[II Muudatus]]</f>
        <v>2600</v>
      </c>
    </row>
    <row r="1233" spans="1:21" ht="14.25" hidden="1" customHeight="1" x14ac:dyDescent="0.25">
      <c r="A1233" s="42" t="s">
        <v>158</v>
      </c>
      <c r="B1233" s="42">
        <v>197.39</v>
      </c>
      <c r="C1233" s="53">
        <v>506</v>
      </c>
      <c r="D1233" s="53" t="str">
        <f>LEFT(Table1[[#This Row],[Eelarvekonto]],2)</f>
        <v>50</v>
      </c>
      <c r="E1233" s="42" t="str">
        <f>VLOOKUP(Table1[[#This Row],[Eelarvekonto]],Table5[[Konto]:[Konto nimetus]],2,FALSE)</f>
        <v>Tööjõukuludega kaasnevad maksud ja sotsiaalkindlustusmaksed</v>
      </c>
      <c r="F1233" s="42" t="s">
        <v>139</v>
      </c>
      <c r="G1233" s="42" t="s">
        <v>24</v>
      </c>
      <c r="H1233" s="42"/>
      <c r="I1233" s="42"/>
      <c r="J1233" s="42" t="s">
        <v>235</v>
      </c>
      <c r="K1233" s="42" t="s">
        <v>234</v>
      </c>
      <c r="L1233" s="81" t="s">
        <v>233</v>
      </c>
      <c r="M1233" s="82" t="str">
        <f>LEFT(Table1[[#This Row],[Tegevusala kood]],2)</f>
        <v>08</v>
      </c>
      <c r="N1233" s="53" t="str">
        <f>VLOOKUP(Table1[[#This Row],[Tegevusala kood]],Table4[[Tegevusala kood]:[Tegevusala alanimetus]],2,FALSE)</f>
        <v>Vinni-Pajusti Raamatukogu</v>
      </c>
      <c r="O1233" s="42"/>
      <c r="P1233" s="42"/>
      <c r="Q1233" s="53" t="str">
        <f>VLOOKUP(Table1[[#This Row],[Eelarvekonto]],Table5[[Konto]:[Kontode alanimetus]],5,FALSE)</f>
        <v>Tööjõukulud</v>
      </c>
      <c r="R1233" s="53" t="str">
        <f>VLOOKUP(Table1[[#This Row],[Tegevusala kood]],Table4[[Tegevusala kood]:[Tegevusala alanimetus]],4,FALSE)</f>
        <v>Raamatukogud</v>
      </c>
      <c r="S1233" s="53"/>
      <c r="T1233" s="53"/>
      <c r="U1233" s="53">
        <f>Table1[[#This Row],[Summa]]+Table1[[#This Row],[I Muudatus]]+Table1[[#This Row],[II Muudatus]]</f>
        <v>197.39</v>
      </c>
    </row>
    <row r="1234" spans="1:21" ht="14.25" hidden="1" customHeight="1" x14ac:dyDescent="0.25">
      <c r="A1234" s="42" t="s">
        <v>1325</v>
      </c>
      <c r="B1234" s="42">
        <v>584</v>
      </c>
      <c r="C1234" s="53">
        <v>5002</v>
      </c>
      <c r="D1234" s="53" t="str">
        <f>LEFT(Table1[[#This Row],[Eelarvekonto]],2)</f>
        <v>50</v>
      </c>
      <c r="E1234" s="42" t="str">
        <f>VLOOKUP(Table1[[#This Row],[Eelarvekonto]],Table5[[Konto]:[Konto nimetus]],2,FALSE)</f>
        <v>Töötajate töötasud</v>
      </c>
      <c r="F1234" s="42" t="s">
        <v>139</v>
      </c>
      <c r="G1234" s="42" t="s">
        <v>24</v>
      </c>
      <c r="H1234" s="42"/>
      <c r="I1234" s="42"/>
      <c r="J1234" s="42" t="s">
        <v>235</v>
      </c>
      <c r="K1234" s="42" t="s">
        <v>234</v>
      </c>
      <c r="L1234" s="81" t="s">
        <v>233</v>
      </c>
      <c r="M1234" s="82" t="str">
        <f>LEFT(Table1[[#This Row],[Tegevusala kood]],2)</f>
        <v>08</v>
      </c>
      <c r="N1234" s="53" t="str">
        <f>VLOOKUP(Table1[[#This Row],[Tegevusala kood]],Table4[[Tegevusala kood]:[Tegevusala alanimetus]],2,FALSE)</f>
        <v>Vinni-Pajusti Raamatukogu</v>
      </c>
      <c r="O1234" s="42"/>
      <c r="P1234" s="42"/>
      <c r="Q1234" s="53" t="str">
        <f>VLOOKUP(Table1[[#This Row],[Eelarvekonto]],Table5[[Konto]:[Kontode alanimetus]],5,FALSE)</f>
        <v>Tööjõukulud</v>
      </c>
      <c r="R1234" s="53" t="str">
        <f>VLOOKUP(Table1[[#This Row],[Tegevusala kood]],Table4[[Tegevusala kood]:[Tegevusala alanimetus]],4,FALSE)</f>
        <v>Raamatukogud</v>
      </c>
      <c r="S1234" s="53"/>
      <c r="T1234" s="53"/>
      <c r="U1234" s="53">
        <f>Table1[[#This Row],[Summa]]+Table1[[#This Row],[I Muudatus]]+Table1[[#This Row],[II Muudatus]]</f>
        <v>584</v>
      </c>
    </row>
    <row r="1235" spans="1:21" ht="14.25" hidden="1" customHeight="1" x14ac:dyDescent="0.25">
      <c r="A1235" s="42" t="s">
        <v>1326</v>
      </c>
      <c r="B1235" s="42">
        <v>296218</v>
      </c>
      <c r="C1235" s="53">
        <v>5002</v>
      </c>
      <c r="D1235" s="53" t="str">
        <f>LEFT(Table1[[#This Row],[Eelarvekonto]],2)</f>
        <v>50</v>
      </c>
      <c r="E1235" s="42" t="str">
        <f>VLOOKUP(Table1[[#This Row],[Eelarvekonto]],Table5[[Konto]:[Konto nimetus]],2,FALSE)</f>
        <v>Töötajate töötasud</v>
      </c>
      <c r="F1235" s="42" t="s">
        <v>139</v>
      </c>
      <c r="G1235" s="42" t="s">
        <v>24</v>
      </c>
      <c r="H1235" s="42"/>
      <c r="I1235" s="42"/>
      <c r="J1235" s="42" t="s">
        <v>460</v>
      </c>
      <c r="K1235" s="42" t="s">
        <v>458</v>
      </c>
      <c r="L1235" s="81" t="s">
        <v>459</v>
      </c>
      <c r="M1235" s="82" t="str">
        <f>LEFT(Table1[[#This Row],[Tegevusala kood]],2)</f>
        <v>10</v>
      </c>
      <c r="N1235" s="53" t="str">
        <f>VLOOKUP(Table1[[#This Row],[Tegevusala kood]],Table4[[Tegevusala kood]:[Tegevusala alanimetus]],2,FALSE)</f>
        <v>Vinni Perekodu</v>
      </c>
      <c r="O1235" s="42"/>
      <c r="P1235" s="42"/>
      <c r="Q1235" s="53" t="str">
        <f>VLOOKUP(Table1[[#This Row],[Eelarvekonto]],Table5[[Konto]:[Kontode alanimetus]],5,FALSE)</f>
        <v>Tööjõukulud</v>
      </c>
      <c r="R1235" s="53" t="str">
        <f>VLOOKUP(Table1[[#This Row],[Tegevusala kood]],Table4[[Tegevusala kood]:[Tegevusala alanimetus]],4,FALSE)</f>
        <v>Laste ja noorte sotsiaalhoolekande asutused</v>
      </c>
      <c r="S1235" s="53"/>
      <c r="T1235" s="53"/>
      <c r="U1235" s="53">
        <f>Table1[[#This Row],[Summa]]+Table1[[#This Row],[I Muudatus]]+Table1[[#This Row],[II Muudatus]]</f>
        <v>296218</v>
      </c>
    </row>
    <row r="1236" spans="1:21" ht="14.25" hidden="1" customHeight="1" x14ac:dyDescent="0.25">
      <c r="A1236" s="42" t="s">
        <v>1327</v>
      </c>
      <c r="B1236" s="42">
        <v>5600</v>
      </c>
      <c r="C1236" s="53">
        <v>5511</v>
      </c>
      <c r="D1236" s="53" t="str">
        <f>LEFT(Table1[[#This Row],[Eelarvekonto]],2)</f>
        <v>55</v>
      </c>
      <c r="E1236" s="42" t="str">
        <f>VLOOKUP(Table1[[#This Row],[Eelarvekonto]],Table5[[Konto]:[Konto nimetus]],2,FALSE)</f>
        <v>Kinnistute, hoonete ja ruumide majandamiskulud</v>
      </c>
      <c r="F1236" s="42" t="s">
        <v>139</v>
      </c>
      <c r="G1236" s="42" t="s">
        <v>24</v>
      </c>
      <c r="H1236" s="42"/>
      <c r="I1236" s="42"/>
      <c r="J1236" s="42" t="s">
        <v>460</v>
      </c>
      <c r="K1236" s="42" t="s">
        <v>458</v>
      </c>
      <c r="L1236" s="81" t="s">
        <v>459</v>
      </c>
      <c r="M1236" s="82" t="str">
        <f>LEFT(Table1[[#This Row],[Tegevusala kood]],2)</f>
        <v>10</v>
      </c>
      <c r="N1236" s="53" t="str">
        <f>VLOOKUP(Table1[[#This Row],[Tegevusala kood]],Table4[[Tegevusala kood]:[Tegevusala alanimetus]],2,FALSE)</f>
        <v>Vinni Perekodu</v>
      </c>
      <c r="O1236" s="42"/>
      <c r="P1236" s="42"/>
      <c r="Q1236" s="53" t="str">
        <f>VLOOKUP(Table1[[#This Row],[Eelarvekonto]],Table5[[Konto]:[Kontode alanimetus]],5,FALSE)</f>
        <v>Majandamiskulud</v>
      </c>
      <c r="R1236" s="53" t="str">
        <f>VLOOKUP(Table1[[#This Row],[Tegevusala kood]],Table4[[Tegevusala kood]:[Tegevusala alanimetus]],4,FALSE)</f>
        <v>Laste ja noorte sotsiaalhoolekande asutused</v>
      </c>
      <c r="S1236" s="53"/>
      <c r="T1236" s="53"/>
      <c r="U1236" s="53">
        <f>Table1[[#This Row],[Summa]]+Table1[[#This Row],[I Muudatus]]+Table1[[#This Row],[II Muudatus]]</f>
        <v>5600</v>
      </c>
    </row>
    <row r="1237" spans="1:21" ht="14.25" hidden="1" customHeight="1" x14ac:dyDescent="0.25">
      <c r="A1237" s="42" t="s">
        <v>1328</v>
      </c>
      <c r="B1237" s="42">
        <v>20280</v>
      </c>
      <c r="C1237" s="53">
        <v>5515</v>
      </c>
      <c r="D1237" s="53" t="str">
        <f>LEFT(Table1[[#This Row],[Eelarvekonto]],2)</f>
        <v>55</v>
      </c>
      <c r="E1237" s="42" t="str">
        <f>VLOOKUP(Table1[[#This Row],[Eelarvekonto]],Table5[[Konto]:[Konto nimetus]],2,FALSE)</f>
        <v>Inventari majandamiskulud</v>
      </c>
      <c r="F1237" s="42" t="s">
        <v>139</v>
      </c>
      <c r="G1237" s="42" t="s">
        <v>24</v>
      </c>
      <c r="H1237" s="42"/>
      <c r="I1237" s="42"/>
      <c r="J1237" s="42" t="s">
        <v>460</v>
      </c>
      <c r="K1237" s="42" t="s">
        <v>458</v>
      </c>
      <c r="L1237" s="81" t="s">
        <v>459</v>
      </c>
      <c r="M1237" s="82" t="str">
        <f>LEFT(Table1[[#This Row],[Tegevusala kood]],2)</f>
        <v>10</v>
      </c>
      <c r="N1237" s="53" t="str">
        <f>VLOOKUP(Table1[[#This Row],[Tegevusala kood]],Table4[[Tegevusala kood]:[Tegevusala alanimetus]],2,FALSE)</f>
        <v>Vinni Perekodu</v>
      </c>
      <c r="O1237" s="42"/>
      <c r="P1237" s="42"/>
      <c r="Q1237" s="53" t="str">
        <f>VLOOKUP(Table1[[#This Row],[Eelarvekonto]],Table5[[Konto]:[Kontode alanimetus]],5,FALSE)</f>
        <v>Majandamiskulud</v>
      </c>
      <c r="R1237" s="53" t="str">
        <f>VLOOKUP(Table1[[#This Row],[Tegevusala kood]],Table4[[Tegevusala kood]:[Tegevusala alanimetus]],4,FALSE)</f>
        <v>Laste ja noorte sotsiaalhoolekande asutused</v>
      </c>
      <c r="S1237" s="53"/>
      <c r="T1237" s="53"/>
      <c r="U1237" s="53">
        <f>Table1[[#This Row],[Summa]]+Table1[[#This Row],[I Muudatus]]+Table1[[#This Row],[II Muudatus]]</f>
        <v>20280</v>
      </c>
    </row>
    <row r="1238" spans="1:21" ht="14.25" hidden="1" customHeight="1" x14ac:dyDescent="0.25">
      <c r="A1238" s="42" t="s">
        <v>1329</v>
      </c>
      <c r="B1238" s="42">
        <v>66660</v>
      </c>
      <c r="C1238" s="53">
        <v>5521</v>
      </c>
      <c r="D1238" s="53" t="str">
        <f>LEFT(Table1[[#This Row],[Eelarvekonto]],2)</f>
        <v>55</v>
      </c>
      <c r="E1238" s="42" t="str">
        <f>VLOOKUP(Table1[[#This Row],[Eelarvekonto]],Table5[[Konto]:[Konto nimetus]],2,FALSE)</f>
        <v>Toiduained ja toitlustusteenused</v>
      </c>
      <c r="F1238" s="42" t="s">
        <v>139</v>
      </c>
      <c r="G1238" s="42" t="s">
        <v>24</v>
      </c>
      <c r="H1238" s="42"/>
      <c r="I1238" s="42"/>
      <c r="J1238" s="42" t="s">
        <v>460</v>
      </c>
      <c r="K1238" s="42" t="s">
        <v>458</v>
      </c>
      <c r="L1238" s="81" t="s">
        <v>459</v>
      </c>
      <c r="M1238" s="82" t="str">
        <f>LEFT(Table1[[#This Row],[Tegevusala kood]],2)</f>
        <v>10</v>
      </c>
      <c r="N1238" s="53" t="str">
        <f>VLOOKUP(Table1[[#This Row],[Tegevusala kood]],Table4[[Tegevusala kood]:[Tegevusala alanimetus]],2,FALSE)</f>
        <v>Vinni Perekodu</v>
      </c>
      <c r="O1238" s="42"/>
      <c r="P1238" s="42"/>
      <c r="Q1238" s="53" t="str">
        <f>VLOOKUP(Table1[[#This Row],[Eelarvekonto]],Table5[[Konto]:[Kontode alanimetus]],5,FALSE)</f>
        <v>Majandamiskulud</v>
      </c>
      <c r="R1238" s="53" t="str">
        <f>VLOOKUP(Table1[[#This Row],[Tegevusala kood]],Table4[[Tegevusala kood]:[Tegevusala alanimetus]],4,FALSE)</f>
        <v>Laste ja noorte sotsiaalhoolekande asutused</v>
      </c>
      <c r="S1238" s="53"/>
      <c r="T1238" s="53"/>
      <c r="U1238" s="53">
        <f>Table1[[#This Row],[Summa]]+Table1[[#This Row],[I Muudatus]]+Table1[[#This Row],[II Muudatus]]</f>
        <v>66660</v>
      </c>
    </row>
    <row r="1239" spans="1:21" ht="14.25" hidden="1" customHeight="1" x14ac:dyDescent="0.25">
      <c r="A1239" s="42" t="s">
        <v>141</v>
      </c>
      <c r="B1239" s="42">
        <v>31710</v>
      </c>
      <c r="C1239" s="53">
        <v>5525</v>
      </c>
      <c r="D1239" s="53" t="str">
        <f>LEFT(Table1[[#This Row],[Eelarvekonto]],2)</f>
        <v>55</v>
      </c>
      <c r="E1239" s="42" t="str">
        <f>VLOOKUP(Table1[[#This Row],[Eelarvekonto]],Table5[[Konto]:[Konto nimetus]],2,FALSE)</f>
        <v>Kommunikatsiooni-, kultuuri- ja vaba aja sisustamise kulud</v>
      </c>
      <c r="F1239" s="42" t="s">
        <v>139</v>
      </c>
      <c r="G1239" s="42" t="s">
        <v>24</v>
      </c>
      <c r="H1239" s="42"/>
      <c r="I1239" s="42"/>
      <c r="J1239" s="42" t="s">
        <v>460</v>
      </c>
      <c r="K1239" s="42" t="s">
        <v>458</v>
      </c>
      <c r="L1239" s="81" t="s">
        <v>459</v>
      </c>
      <c r="M1239" s="82" t="str">
        <f>LEFT(Table1[[#This Row],[Tegevusala kood]],2)</f>
        <v>10</v>
      </c>
      <c r="N1239" s="53" t="str">
        <f>VLOOKUP(Table1[[#This Row],[Tegevusala kood]],Table4[[Tegevusala kood]:[Tegevusala alanimetus]],2,FALSE)</f>
        <v>Vinni Perekodu</v>
      </c>
      <c r="O1239" s="42"/>
      <c r="P1239" s="42"/>
      <c r="Q1239" s="53" t="str">
        <f>VLOOKUP(Table1[[#This Row],[Eelarvekonto]],Table5[[Konto]:[Kontode alanimetus]],5,FALSE)</f>
        <v>Majandamiskulud</v>
      </c>
      <c r="R1239" s="53" t="str">
        <f>VLOOKUP(Table1[[#This Row],[Tegevusala kood]],Table4[[Tegevusala kood]:[Tegevusala alanimetus]],4,FALSE)</f>
        <v>Laste ja noorte sotsiaalhoolekande asutused</v>
      </c>
      <c r="S1239" s="53"/>
      <c r="T1239" s="53"/>
      <c r="U1239" s="53">
        <f>Table1[[#This Row],[Summa]]+Table1[[#This Row],[I Muudatus]]+Table1[[#This Row],[II Muudatus]]</f>
        <v>31710</v>
      </c>
    </row>
    <row r="1240" spans="1:21" ht="14.25" hidden="1" customHeight="1" x14ac:dyDescent="0.25">
      <c r="A1240" s="42" t="s">
        <v>1330</v>
      </c>
      <c r="B1240" s="42">
        <v>19680</v>
      </c>
      <c r="C1240" s="53">
        <v>5522</v>
      </c>
      <c r="D1240" s="53" t="str">
        <f>LEFT(Table1[[#This Row],[Eelarvekonto]],2)</f>
        <v>55</v>
      </c>
      <c r="E1240" s="42" t="str">
        <f>VLOOKUP(Table1[[#This Row],[Eelarvekonto]],Table5[[Konto]:[Konto nimetus]],2,FALSE)</f>
        <v>Meditsiinikulud ja hügieenikulud</v>
      </c>
      <c r="F1240" s="42" t="s">
        <v>139</v>
      </c>
      <c r="G1240" s="42" t="s">
        <v>24</v>
      </c>
      <c r="H1240" s="42"/>
      <c r="I1240" s="42"/>
      <c r="J1240" s="42" t="s">
        <v>460</v>
      </c>
      <c r="K1240" s="42" t="s">
        <v>458</v>
      </c>
      <c r="L1240" s="81" t="s">
        <v>459</v>
      </c>
      <c r="M1240" s="82" t="str">
        <f>LEFT(Table1[[#This Row],[Tegevusala kood]],2)</f>
        <v>10</v>
      </c>
      <c r="N1240" s="53" t="str">
        <f>VLOOKUP(Table1[[#This Row],[Tegevusala kood]],Table4[[Tegevusala kood]:[Tegevusala alanimetus]],2,FALSE)</f>
        <v>Vinni Perekodu</v>
      </c>
      <c r="O1240" s="42"/>
      <c r="P1240" s="42"/>
      <c r="Q1240" s="53" t="str">
        <f>VLOOKUP(Table1[[#This Row],[Eelarvekonto]],Table5[[Konto]:[Kontode alanimetus]],5,FALSE)</f>
        <v>Majandamiskulud</v>
      </c>
      <c r="R1240" s="53" t="str">
        <f>VLOOKUP(Table1[[#This Row],[Tegevusala kood]],Table4[[Tegevusala kood]:[Tegevusala alanimetus]],4,FALSE)</f>
        <v>Laste ja noorte sotsiaalhoolekande asutused</v>
      </c>
      <c r="S1240" s="53"/>
      <c r="T1240" s="53"/>
      <c r="U1240" s="53">
        <f>Table1[[#This Row],[Summa]]+Table1[[#This Row],[I Muudatus]]+Table1[[#This Row],[II Muudatus]]</f>
        <v>19680</v>
      </c>
    </row>
    <row r="1241" spans="1:21" ht="14.25" hidden="1" customHeight="1" x14ac:dyDescent="0.25">
      <c r="A1241" s="42" t="s">
        <v>253</v>
      </c>
      <c r="B1241" s="42">
        <v>4680</v>
      </c>
      <c r="C1241" s="53">
        <v>551300</v>
      </c>
      <c r="D1241" s="53" t="str">
        <f>LEFT(Table1[[#This Row],[Eelarvekonto]],2)</f>
        <v>55</v>
      </c>
      <c r="E1241" s="42" t="str">
        <f>VLOOKUP(Table1[[#This Row],[Eelarvekonto]],Table5[[Konto]:[Konto nimetus]],2,FALSE)</f>
        <v>Kütus</v>
      </c>
      <c r="F1241" s="42" t="s">
        <v>139</v>
      </c>
      <c r="G1241" s="42" t="s">
        <v>24</v>
      </c>
      <c r="H1241" s="42"/>
      <c r="I1241" s="42"/>
      <c r="J1241" s="42" t="s">
        <v>460</v>
      </c>
      <c r="K1241" s="42" t="s">
        <v>458</v>
      </c>
      <c r="L1241" s="81" t="s">
        <v>459</v>
      </c>
      <c r="M1241" s="82" t="str">
        <f>LEFT(Table1[[#This Row],[Tegevusala kood]],2)</f>
        <v>10</v>
      </c>
      <c r="N1241" s="53" t="str">
        <f>VLOOKUP(Table1[[#This Row],[Tegevusala kood]],Table4[[Tegevusala kood]:[Tegevusala alanimetus]],2,FALSE)</f>
        <v>Vinni Perekodu</v>
      </c>
      <c r="O1241" s="42"/>
      <c r="P1241" s="42"/>
      <c r="Q1241" s="53" t="str">
        <f>VLOOKUP(Table1[[#This Row],[Eelarvekonto]],Table5[[Konto]:[Kontode alanimetus]],5,FALSE)</f>
        <v>Majandamiskulud</v>
      </c>
      <c r="R1241" s="53" t="str">
        <f>VLOOKUP(Table1[[#This Row],[Tegevusala kood]],Table4[[Tegevusala kood]:[Tegevusala alanimetus]],4,FALSE)</f>
        <v>Laste ja noorte sotsiaalhoolekande asutused</v>
      </c>
      <c r="S1241" s="53"/>
      <c r="T1241" s="53"/>
      <c r="U1241" s="53">
        <f>Table1[[#This Row],[Summa]]+Table1[[#This Row],[I Muudatus]]+Table1[[#This Row],[II Muudatus]]</f>
        <v>4680</v>
      </c>
    </row>
    <row r="1242" spans="1:21" ht="14.25" hidden="1" customHeight="1" x14ac:dyDescent="0.25">
      <c r="A1242" s="42" t="s">
        <v>173</v>
      </c>
      <c r="B1242" s="42">
        <v>1200</v>
      </c>
      <c r="C1242" s="53">
        <v>5513</v>
      </c>
      <c r="D1242" s="53" t="str">
        <f>LEFT(Table1[[#This Row],[Eelarvekonto]],2)</f>
        <v>55</v>
      </c>
      <c r="E1242" s="42" t="str">
        <f>VLOOKUP(Table1[[#This Row],[Eelarvekonto]],Table5[[Konto]:[Konto nimetus]],2,FALSE)</f>
        <v>Sõidukite ülalpidamise kulud</v>
      </c>
      <c r="F1242" s="42" t="s">
        <v>139</v>
      </c>
      <c r="G1242" s="42" t="s">
        <v>24</v>
      </c>
      <c r="H1242" s="42"/>
      <c r="I1242" s="42"/>
      <c r="J1242" s="42" t="s">
        <v>460</v>
      </c>
      <c r="K1242" s="42" t="s">
        <v>458</v>
      </c>
      <c r="L1242" s="81" t="s">
        <v>459</v>
      </c>
      <c r="M1242" s="82" t="str">
        <f>LEFT(Table1[[#This Row],[Tegevusala kood]],2)</f>
        <v>10</v>
      </c>
      <c r="N1242" s="53" t="str">
        <f>VLOOKUP(Table1[[#This Row],[Tegevusala kood]],Table4[[Tegevusala kood]:[Tegevusala alanimetus]],2,FALSE)</f>
        <v>Vinni Perekodu</v>
      </c>
      <c r="O1242" s="42"/>
      <c r="P1242" s="42"/>
      <c r="Q1242" s="53" t="str">
        <f>VLOOKUP(Table1[[#This Row],[Eelarvekonto]],Table5[[Konto]:[Kontode alanimetus]],5,FALSE)</f>
        <v>Majandamiskulud</v>
      </c>
      <c r="R1242" s="53" t="str">
        <f>VLOOKUP(Table1[[#This Row],[Tegevusala kood]],Table4[[Tegevusala kood]:[Tegevusala alanimetus]],4,FALSE)</f>
        <v>Laste ja noorte sotsiaalhoolekande asutused</v>
      </c>
      <c r="S1242" s="53"/>
      <c r="T1242" s="53"/>
      <c r="U1242" s="53">
        <f>Table1[[#This Row],[Summa]]+Table1[[#This Row],[I Muudatus]]+Table1[[#This Row],[II Muudatus]]</f>
        <v>1200</v>
      </c>
    </row>
    <row r="1243" spans="1:21" ht="14.25" hidden="1" customHeight="1" x14ac:dyDescent="0.25">
      <c r="A1243" s="42" t="s">
        <v>254</v>
      </c>
      <c r="B1243" s="42">
        <v>1200</v>
      </c>
      <c r="C1243" s="53">
        <v>551307</v>
      </c>
      <c r="D1243" s="53" t="str">
        <f>LEFT(Table1[[#This Row],[Eelarvekonto]],2)</f>
        <v>55</v>
      </c>
      <c r="E1243" s="42" t="str">
        <f>VLOOKUP(Table1[[#This Row],[Eelarvekonto]],Table5[[Konto]:[Konto nimetus]],2,FALSE)</f>
        <v>Kindlustus</v>
      </c>
      <c r="F1243" s="42" t="s">
        <v>139</v>
      </c>
      <c r="G1243" s="42" t="s">
        <v>24</v>
      </c>
      <c r="H1243" s="42"/>
      <c r="I1243" s="42"/>
      <c r="J1243" s="42" t="s">
        <v>460</v>
      </c>
      <c r="K1243" s="42" t="s">
        <v>458</v>
      </c>
      <c r="L1243" s="81" t="s">
        <v>459</v>
      </c>
      <c r="M1243" s="82" t="str">
        <f>LEFT(Table1[[#This Row],[Tegevusala kood]],2)</f>
        <v>10</v>
      </c>
      <c r="N1243" s="53" t="str">
        <f>VLOOKUP(Table1[[#This Row],[Tegevusala kood]],Table4[[Tegevusala kood]:[Tegevusala alanimetus]],2,FALSE)</f>
        <v>Vinni Perekodu</v>
      </c>
      <c r="O1243" s="42"/>
      <c r="P1243" s="42"/>
      <c r="Q1243" s="53" t="str">
        <f>VLOOKUP(Table1[[#This Row],[Eelarvekonto]],Table5[[Konto]:[Kontode alanimetus]],5,FALSE)</f>
        <v>Majandamiskulud</v>
      </c>
      <c r="R1243" s="53" t="str">
        <f>VLOOKUP(Table1[[#This Row],[Tegevusala kood]],Table4[[Tegevusala kood]:[Tegevusala alanimetus]],4,FALSE)</f>
        <v>Laste ja noorte sotsiaalhoolekande asutused</v>
      </c>
      <c r="S1243" s="53"/>
      <c r="T1243" s="53"/>
      <c r="U1243" s="53">
        <f>Table1[[#This Row],[Summa]]+Table1[[#This Row],[I Muudatus]]+Table1[[#This Row],[II Muudatus]]</f>
        <v>1200</v>
      </c>
    </row>
    <row r="1244" spans="1:21" ht="14.25" hidden="1" customHeight="1" x14ac:dyDescent="0.25">
      <c r="A1244" s="42" t="s">
        <v>1331</v>
      </c>
      <c r="B1244" s="42">
        <v>6221.64</v>
      </c>
      <c r="C1244" s="53">
        <v>551308</v>
      </c>
      <c r="D1244" s="53" t="str">
        <f>LEFT(Table1[[#This Row],[Eelarvekonto]],2)</f>
        <v>55</v>
      </c>
      <c r="E1244" s="42" t="str">
        <f>VLOOKUP(Table1[[#This Row],[Eelarvekonto]],Table5[[Konto]:[Konto nimetus]],2,FALSE)</f>
        <v>Sõidukite kasutusrent</v>
      </c>
      <c r="F1244" s="42" t="s">
        <v>139</v>
      </c>
      <c r="G1244" s="42" t="s">
        <v>24</v>
      </c>
      <c r="H1244" s="42"/>
      <c r="I1244" s="42"/>
      <c r="J1244" s="42" t="s">
        <v>460</v>
      </c>
      <c r="K1244" s="42" t="s">
        <v>458</v>
      </c>
      <c r="L1244" s="81" t="s">
        <v>459</v>
      </c>
      <c r="M1244" s="82" t="str">
        <f>LEFT(Table1[[#This Row],[Tegevusala kood]],2)</f>
        <v>10</v>
      </c>
      <c r="N1244" s="53" t="str">
        <f>VLOOKUP(Table1[[#This Row],[Tegevusala kood]],Table4[[Tegevusala kood]:[Tegevusala alanimetus]],2,FALSE)</f>
        <v>Vinni Perekodu</v>
      </c>
      <c r="O1244" s="42"/>
      <c r="P1244" s="42"/>
      <c r="Q1244" s="53" t="str">
        <f>VLOOKUP(Table1[[#This Row],[Eelarvekonto]],Table5[[Konto]:[Kontode alanimetus]],5,FALSE)</f>
        <v>Majandamiskulud</v>
      </c>
      <c r="R1244" s="53" t="str">
        <f>VLOOKUP(Table1[[#This Row],[Tegevusala kood]],Table4[[Tegevusala kood]:[Tegevusala alanimetus]],4,FALSE)</f>
        <v>Laste ja noorte sotsiaalhoolekande asutused</v>
      </c>
      <c r="S1244" s="53"/>
      <c r="T1244" s="53"/>
      <c r="U1244" s="53">
        <f>Table1[[#This Row],[Summa]]+Table1[[#This Row],[I Muudatus]]+Table1[[#This Row],[II Muudatus]]</f>
        <v>6221.64</v>
      </c>
    </row>
    <row r="1245" spans="1:21" ht="14.25" hidden="1" customHeight="1" x14ac:dyDescent="0.25">
      <c r="A1245" s="42" t="s">
        <v>1332</v>
      </c>
      <c r="B1245" s="42">
        <v>4978.25</v>
      </c>
      <c r="C1245" s="53">
        <v>551308</v>
      </c>
      <c r="D1245" s="53" t="str">
        <f>LEFT(Table1[[#This Row],[Eelarvekonto]],2)</f>
        <v>55</v>
      </c>
      <c r="E1245" s="42" t="str">
        <f>VLOOKUP(Table1[[#This Row],[Eelarvekonto]],Table5[[Konto]:[Konto nimetus]],2,FALSE)</f>
        <v>Sõidukite kasutusrent</v>
      </c>
      <c r="F1245" s="42" t="s">
        <v>139</v>
      </c>
      <c r="G1245" s="42" t="s">
        <v>24</v>
      </c>
      <c r="H1245" s="42"/>
      <c r="I1245" s="42"/>
      <c r="J1245" s="42" t="s">
        <v>460</v>
      </c>
      <c r="K1245" s="42" t="s">
        <v>458</v>
      </c>
      <c r="L1245" s="81" t="s">
        <v>459</v>
      </c>
      <c r="M1245" s="82" t="str">
        <f>LEFT(Table1[[#This Row],[Tegevusala kood]],2)</f>
        <v>10</v>
      </c>
      <c r="N1245" s="53" t="str">
        <f>VLOOKUP(Table1[[#This Row],[Tegevusala kood]],Table4[[Tegevusala kood]:[Tegevusala alanimetus]],2,FALSE)</f>
        <v>Vinni Perekodu</v>
      </c>
      <c r="O1245" s="42"/>
      <c r="P1245" s="42"/>
      <c r="Q1245" s="53" t="str">
        <f>VLOOKUP(Table1[[#This Row],[Eelarvekonto]],Table5[[Konto]:[Kontode alanimetus]],5,FALSE)</f>
        <v>Majandamiskulud</v>
      </c>
      <c r="R1245" s="53" t="str">
        <f>VLOOKUP(Table1[[#This Row],[Tegevusala kood]],Table4[[Tegevusala kood]:[Tegevusala alanimetus]],4,FALSE)</f>
        <v>Laste ja noorte sotsiaalhoolekande asutused</v>
      </c>
      <c r="S1245" s="53"/>
      <c r="T1245" s="53"/>
      <c r="U1245" s="53">
        <f>Table1[[#This Row],[Summa]]+Table1[[#This Row],[I Muudatus]]+Table1[[#This Row],[II Muudatus]]</f>
        <v>4978.25</v>
      </c>
    </row>
    <row r="1246" spans="1:21" ht="14.25" hidden="1" customHeight="1" x14ac:dyDescent="0.25">
      <c r="A1246" s="42" t="s">
        <v>1333</v>
      </c>
      <c r="B1246" s="42">
        <v>5780</v>
      </c>
      <c r="C1246" s="53">
        <v>5511</v>
      </c>
      <c r="D1246" s="53" t="str">
        <f>LEFT(Table1[[#This Row],[Eelarvekonto]],2)</f>
        <v>55</v>
      </c>
      <c r="E1246" s="42" t="str">
        <f>VLOOKUP(Table1[[#This Row],[Eelarvekonto]],Table5[[Konto]:[Konto nimetus]],2,FALSE)</f>
        <v>Kinnistute, hoonete ja ruumide majandamiskulud</v>
      </c>
      <c r="F1246" s="42" t="s">
        <v>139</v>
      </c>
      <c r="G1246" s="42" t="s">
        <v>24</v>
      </c>
      <c r="H1246" s="42"/>
      <c r="I1246" s="42"/>
      <c r="J1246" s="42" t="s">
        <v>460</v>
      </c>
      <c r="K1246" s="42" t="s">
        <v>458</v>
      </c>
      <c r="L1246" s="81" t="s">
        <v>459</v>
      </c>
      <c r="M1246" s="82" t="str">
        <f>LEFT(Table1[[#This Row],[Tegevusala kood]],2)</f>
        <v>10</v>
      </c>
      <c r="N1246" s="53" t="str">
        <f>VLOOKUP(Table1[[#This Row],[Tegevusala kood]],Table4[[Tegevusala kood]:[Tegevusala alanimetus]],2,FALSE)</f>
        <v>Vinni Perekodu</v>
      </c>
      <c r="O1246" s="42"/>
      <c r="P1246" s="42"/>
      <c r="Q1246" s="53" t="str">
        <f>VLOOKUP(Table1[[#This Row],[Eelarvekonto]],Table5[[Konto]:[Kontode alanimetus]],5,FALSE)</f>
        <v>Majandamiskulud</v>
      </c>
      <c r="R1246" s="53" t="str">
        <f>VLOOKUP(Table1[[#This Row],[Tegevusala kood]],Table4[[Tegevusala kood]:[Tegevusala alanimetus]],4,FALSE)</f>
        <v>Laste ja noorte sotsiaalhoolekande asutused</v>
      </c>
      <c r="S1246" s="53"/>
      <c r="T1246" s="53"/>
      <c r="U1246" s="53">
        <f>Table1[[#This Row],[Summa]]+Table1[[#This Row],[I Muudatus]]+Table1[[#This Row],[II Muudatus]]</f>
        <v>5780</v>
      </c>
    </row>
    <row r="1247" spans="1:21" ht="14.25" hidden="1" customHeight="1" x14ac:dyDescent="0.25">
      <c r="A1247" s="42" t="s">
        <v>1334</v>
      </c>
      <c r="B1247" s="42">
        <v>2000</v>
      </c>
      <c r="C1247" s="53">
        <v>5511</v>
      </c>
      <c r="D1247" s="53" t="str">
        <f>LEFT(Table1[[#This Row],[Eelarvekonto]],2)</f>
        <v>55</v>
      </c>
      <c r="E1247" s="42" t="str">
        <f>VLOOKUP(Table1[[#This Row],[Eelarvekonto]],Table5[[Konto]:[Konto nimetus]],2,FALSE)</f>
        <v>Kinnistute, hoonete ja ruumide majandamiskulud</v>
      </c>
      <c r="F1247" s="42" t="s">
        <v>139</v>
      </c>
      <c r="G1247" s="42" t="s">
        <v>24</v>
      </c>
      <c r="H1247" s="42"/>
      <c r="I1247" s="42"/>
      <c r="J1247" s="42" t="s">
        <v>460</v>
      </c>
      <c r="K1247" s="42" t="s">
        <v>458</v>
      </c>
      <c r="L1247" s="81" t="s">
        <v>459</v>
      </c>
      <c r="M1247" s="82" t="str">
        <f>LEFT(Table1[[#This Row],[Tegevusala kood]],2)</f>
        <v>10</v>
      </c>
      <c r="N1247" s="53" t="str">
        <f>VLOOKUP(Table1[[#This Row],[Tegevusala kood]],Table4[[Tegevusala kood]:[Tegevusala alanimetus]],2,FALSE)</f>
        <v>Vinni Perekodu</v>
      </c>
      <c r="O1247" s="42"/>
      <c r="P1247" s="42"/>
      <c r="Q1247" s="53" t="str">
        <f>VLOOKUP(Table1[[#This Row],[Eelarvekonto]],Table5[[Konto]:[Kontode alanimetus]],5,FALSE)</f>
        <v>Majandamiskulud</v>
      </c>
      <c r="R1247" s="53" t="str">
        <f>VLOOKUP(Table1[[#This Row],[Tegevusala kood]],Table4[[Tegevusala kood]:[Tegevusala alanimetus]],4,FALSE)</f>
        <v>Laste ja noorte sotsiaalhoolekande asutused</v>
      </c>
      <c r="S1247" s="53"/>
      <c r="T1247" s="53"/>
      <c r="U1247" s="53">
        <f>Table1[[#This Row],[Summa]]+Table1[[#This Row],[I Muudatus]]+Table1[[#This Row],[II Muudatus]]</f>
        <v>2000</v>
      </c>
    </row>
    <row r="1248" spans="1:21" ht="14.25" hidden="1" customHeight="1" x14ac:dyDescent="0.25">
      <c r="A1248" s="42" t="s">
        <v>1335</v>
      </c>
      <c r="B1248" s="42">
        <v>320</v>
      </c>
      <c r="C1248" s="53">
        <v>5511</v>
      </c>
      <c r="D1248" s="53" t="str">
        <f>LEFT(Table1[[#This Row],[Eelarvekonto]],2)</f>
        <v>55</v>
      </c>
      <c r="E1248" s="42" t="str">
        <f>VLOOKUP(Table1[[#This Row],[Eelarvekonto]],Table5[[Konto]:[Konto nimetus]],2,FALSE)</f>
        <v>Kinnistute, hoonete ja ruumide majandamiskulud</v>
      </c>
      <c r="F1248" s="42" t="s">
        <v>139</v>
      </c>
      <c r="G1248" s="42" t="s">
        <v>24</v>
      </c>
      <c r="H1248" s="42"/>
      <c r="I1248" s="42"/>
      <c r="J1248" s="42" t="s">
        <v>460</v>
      </c>
      <c r="K1248" s="42" t="s">
        <v>458</v>
      </c>
      <c r="L1248" s="81" t="s">
        <v>459</v>
      </c>
      <c r="M1248" s="82" t="str">
        <f>LEFT(Table1[[#This Row],[Tegevusala kood]],2)</f>
        <v>10</v>
      </c>
      <c r="N1248" s="53" t="str">
        <f>VLOOKUP(Table1[[#This Row],[Tegevusala kood]],Table4[[Tegevusala kood]:[Tegevusala alanimetus]],2,FALSE)</f>
        <v>Vinni Perekodu</v>
      </c>
      <c r="O1248" s="42"/>
      <c r="P1248" s="42"/>
      <c r="Q1248" s="53" t="str">
        <f>VLOOKUP(Table1[[#This Row],[Eelarvekonto]],Table5[[Konto]:[Kontode alanimetus]],5,FALSE)</f>
        <v>Majandamiskulud</v>
      </c>
      <c r="R1248" s="53" t="str">
        <f>VLOOKUP(Table1[[#This Row],[Tegevusala kood]],Table4[[Tegevusala kood]:[Tegevusala alanimetus]],4,FALSE)</f>
        <v>Laste ja noorte sotsiaalhoolekande asutused</v>
      </c>
      <c r="S1248" s="53"/>
      <c r="T1248" s="53"/>
      <c r="U1248" s="53">
        <f>Table1[[#This Row],[Summa]]+Table1[[#This Row],[I Muudatus]]+Table1[[#This Row],[II Muudatus]]</f>
        <v>320</v>
      </c>
    </row>
    <row r="1249" spans="1:21" ht="14.25" hidden="1" customHeight="1" x14ac:dyDescent="0.25">
      <c r="A1249" s="42" t="s">
        <v>1336</v>
      </c>
      <c r="B1249" s="42">
        <v>1570</v>
      </c>
      <c r="C1249" s="53">
        <v>5511</v>
      </c>
      <c r="D1249" s="53" t="str">
        <f>LEFT(Table1[[#This Row],[Eelarvekonto]],2)</f>
        <v>55</v>
      </c>
      <c r="E1249" s="42" t="str">
        <f>VLOOKUP(Table1[[#This Row],[Eelarvekonto]],Table5[[Konto]:[Konto nimetus]],2,FALSE)</f>
        <v>Kinnistute, hoonete ja ruumide majandamiskulud</v>
      </c>
      <c r="F1249" s="42" t="s">
        <v>139</v>
      </c>
      <c r="G1249" s="42" t="s">
        <v>24</v>
      </c>
      <c r="H1249" s="42"/>
      <c r="I1249" s="42"/>
      <c r="J1249" s="42" t="s">
        <v>460</v>
      </c>
      <c r="K1249" s="42" t="s">
        <v>458</v>
      </c>
      <c r="L1249" s="81" t="s">
        <v>459</v>
      </c>
      <c r="M1249" s="82" t="str">
        <f>LEFT(Table1[[#This Row],[Tegevusala kood]],2)</f>
        <v>10</v>
      </c>
      <c r="N1249" s="53" t="str">
        <f>VLOOKUP(Table1[[#This Row],[Tegevusala kood]],Table4[[Tegevusala kood]:[Tegevusala alanimetus]],2,FALSE)</f>
        <v>Vinni Perekodu</v>
      </c>
      <c r="O1249" s="42"/>
      <c r="P1249" s="42"/>
      <c r="Q1249" s="53" t="str">
        <f>VLOOKUP(Table1[[#This Row],[Eelarvekonto]],Table5[[Konto]:[Kontode alanimetus]],5,FALSE)</f>
        <v>Majandamiskulud</v>
      </c>
      <c r="R1249" s="53" t="str">
        <f>VLOOKUP(Table1[[#This Row],[Tegevusala kood]],Table4[[Tegevusala kood]:[Tegevusala alanimetus]],4,FALSE)</f>
        <v>Laste ja noorte sotsiaalhoolekande asutused</v>
      </c>
      <c r="S1249" s="53"/>
      <c r="T1249" s="53"/>
      <c r="U1249" s="53">
        <f>Table1[[#This Row],[Summa]]+Table1[[#This Row],[I Muudatus]]+Table1[[#This Row],[II Muudatus]]</f>
        <v>1570</v>
      </c>
    </row>
    <row r="1250" spans="1:21" ht="14.25" hidden="1" customHeight="1" x14ac:dyDescent="0.25">
      <c r="A1250" s="42" t="s">
        <v>1337</v>
      </c>
      <c r="B1250" s="42">
        <v>27414.11</v>
      </c>
      <c r="C1250" s="53">
        <v>5511</v>
      </c>
      <c r="D1250" s="53" t="str">
        <f>LEFT(Table1[[#This Row],[Eelarvekonto]],2)</f>
        <v>55</v>
      </c>
      <c r="E1250" s="42" t="str">
        <f>VLOOKUP(Table1[[#This Row],[Eelarvekonto]],Table5[[Konto]:[Konto nimetus]],2,FALSE)</f>
        <v>Kinnistute, hoonete ja ruumide majandamiskulud</v>
      </c>
      <c r="F1250" s="42" t="s">
        <v>139</v>
      </c>
      <c r="G1250" s="42" t="s">
        <v>24</v>
      </c>
      <c r="H1250" s="42"/>
      <c r="I1250" s="42"/>
      <c r="J1250" s="42" t="s">
        <v>460</v>
      </c>
      <c r="K1250" s="42" t="s">
        <v>458</v>
      </c>
      <c r="L1250" s="81" t="s">
        <v>459</v>
      </c>
      <c r="M1250" s="82" t="str">
        <f>LEFT(Table1[[#This Row],[Tegevusala kood]],2)</f>
        <v>10</v>
      </c>
      <c r="N1250" s="53" t="str">
        <f>VLOOKUP(Table1[[#This Row],[Tegevusala kood]],Table4[[Tegevusala kood]:[Tegevusala alanimetus]],2,FALSE)</f>
        <v>Vinni Perekodu</v>
      </c>
      <c r="O1250" s="42"/>
      <c r="P1250" s="42"/>
      <c r="Q1250" s="53" t="str">
        <f>VLOOKUP(Table1[[#This Row],[Eelarvekonto]],Table5[[Konto]:[Kontode alanimetus]],5,FALSE)</f>
        <v>Majandamiskulud</v>
      </c>
      <c r="R1250" s="53" t="str">
        <f>VLOOKUP(Table1[[#This Row],[Tegevusala kood]],Table4[[Tegevusala kood]:[Tegevusala alanimetus]],4,FALSE)</f>
        <v>Laste ja noorte sotsiaalhoolekande asutused</v>
      </c>
      <c r="S1250" s="53"/>
      <c r="T1250" s="53"/>
      <c r="U1250" s="53">
        <f>Table1[[#This Row],[Summa]]+Table1[[#This Row],[I Muudatus]]+Table1[[#This Row],[II Muudatus]]</f>
        <v>27414.11</v>
      </c>
    </row>
    <row r="1251" spans="1:21" ht="14.25" hidden="1" customHeight="1" x14ac:dyDescent="0.25">
      <c r="A1251" s="42" t="s">
        <v>1338</v>
      </c>
      <c r="B1251" s="42">
        <v>32760</v>
      </c>
      <c r="C1251" s="53">
        <v>5511</v>
      </c>
      <c r="D1251" s="53" t="str">
        <f>LEFT(Table1[[#This Row],[Eelarvekonto]],2)</f>
        <v>55</v>
      </c>
      <c r="E1251" s="42" t="str">
        <f>VLOOKUP(Table1[[#This Row],[Eelarvekonto]],Table5[[Konto]:[Konto nimetus]],2,FALSE)</f>
        <v>Kinnistute, hoonete ja ruumide majandamiskulud</v>
      </c>
      <c r="F1251" s="42" t="s">
        <v>139</v>
      </c>
      <c r="G1251" s="42" t="s">
        <v>24</v>
      </c>
      <c r="H1251" s="42"/>
      <c r="I1251" s="42"/>
      <c r="J1251" s="42" t="s">
        <v>460</v>
      </c>
      <c r="K1251" s="42" t="s">
        <v>458</v>
      </c>
      <c r="L1251" s="81" t="s">
        <v>459</v>
      </c>
      <c r="M1251" s="82" t="str">
        <f>LEFT(Table1[[#This Row],[Tegevusala kood]],2)</f>
        <v>10</v>
      </c>
      <c r="N1251" s="53" t="str">
        <f>VLOOKUP(Table1[[#This Row],[Tegevusala kood]],Table4[[Tegevusala kood]:[Tegevusala alanimetus]],2,FALSE)</f>
        <v>Vinni Perekodu</v>
      </c>
      <c r="O1251" s="42"/>
      <c r="P1251" s="42"/>
      <c r="Q1251" s="53" t="str">
        <f>VLOOKUP(Table1[[#This Row],[Eelarvekonto]],Table5[[Konto]:[Kontode alanimetus]],5,FALSE)</f>
        <v>Majandamiskulud</v>
      </c>
      <c r="R1251" s="53" t="str">
        <f>VLOOKUP(Table1[[#This Row],[Tegevusala kood]],Table4[[Tegevusala kood]:[Tegevusala alanimetus]],4,FALSE)</f>
        <v>Laste ja noorte sotsiaalhoolekande asutused</v>
      </c>
      <c r="S1251" s="53"/>
      <c r="T1251" s="53"/>
      <c r="U1251" s="53">
        <f>Table1[[#This Row],[Summa]]+Table1[[#This Row],[I Muudatus]]+Table1[[#This Row],[II Muudatus]]</f>
        <v>32760</v>
      </c>
    </row>
    <row r="1252" spans="1:21" ht="14.25" hidden="1" customHeight="1" x14ac:dyDescent="0.25">
      <c r="A1252" s="42" t="s">
        <v>1339</v>
      </c>
      <c r="B1252" s="42">
        <v>12960</v>
      </c>
      <c r="C1252" s="53">
        <v>5524</v>
      </c>
      <c r="D1252" s="53" t="str">
        <f>LEFT(Table1[[#This Row],[Eelarvekonto]],2)</f>
        <v>55</v>
      </c>
      <c r="E1252" s="42" t="str">
        <f>VLOOKUP(Table1[[#This Row],[Eelarvekonto]],Table5[[Konto]:[Konto nimetus]],2,FALSE)</f>
        <v>Õppevahendite ja koolituse kulud</v>
      </c>
      <c r="F1252" s="42" t="s">
        <v>139</v>
      </c>
      <c r="G1252" s="42" t="s">
        <v>24</v>
      </c>
      <c r="H1252" s="42"/>
      <c r="I1252" s="42"/>
      <c r="J1252" s="42" t="s">
        <v>460</v>
      </c>
      <c r="K1252" s="42" t="s">
        <v>458</v>
      </c>
      <c r="L1252" s="81" t="s">
        <v>459</v>
      </c>
      <c r="M1252" s="82" t="str">
        <f>LEFT(Table1[[#This Row],[Tegevusala kood]],2)</f>
        <v>10</v>
      </c>
      <c r="N1252" s="53" t="str">
        <f>VLOOKUP(Table1[[#This Row],[Tegevusala kood]],Table4[[Tegevusala kood]:[Tegevusala alanimetus]],2,FALSE)</f>
        <v>Vinni Perekodu</v>
      </c>
      <c r="O1252" s="42"/>
      <c r="P1252" s="42"/>
      <c r="Q1252" s="53" t="str">
        <f>VLOOKUP(Table1[[#This Row],[Eelarvekonto]],Table5[[Konto]:[Kontode alanimetus]],5,FALSE)</f>
        <v>Majandamiskulud</v>
      </c>
      <c r="R1252" s="53" t="str">
        <f>VLOOKUP(Table1[[#This Row],[Tegevusala kood]],Table4[[Tegevusala kood]:[Tegevusala alanimetus]],4,FALSE)</f>
        <v>Laste ja noorte sotsiaalhoolekande asutused</v>
      </c>
      <c r="S1252" s="53"/>
      <c r="T1252" s="53"/>
      <c r="U1252" s="53">
        <f>Table1[[#This Row],[Summa]]+Table1[[#This Row],[I Muudatus]]+Table1[[#This Row],[II Muudatus]]</f>
        <v>12960</v>
      </c>
    </row>
    <row r="1253" spans="1:21" ht="14.25" hidden="1" customHeight="1" x14ac:dyDescent="0.25">
      <c r="A1253" s="42" t="s">
        <v>1340</v>
      </c>
      <c r="B1253" s="42">
        <v>8000</v>
      </c>
      <c r="C1253" s="53">
        <v>5524</v>
      </c>
      <c r="D1253" s="53" t="str">
        <f>LEFT(Table1[[#This Row],[Eelarvekonto]],2)</f>
        <v>55</v>
      </c>
      <c r="E1253" s="42" t="str">
        <f>VLOOKUP(Table1[[#This Row],[Eelarvekonto]],Table5[[Konto]:[Konto nimetus]],2,FALSE)</f>
        <v>Õppevahendite ja koolituse kulud</v>
      </c>
      <c r="F1253" s="42" t="s">
        <v>139</v>
      </c>
      <c r="G1253" s="42" t="s">
        <v>24</v>
      </c>
      <c r="H1253" s="42"/>
      <c r="I1253" s="42"/>
      <c r="J1253" s="42" t="s">
        <v>460</v>
      </c>
      <c r="K1253" s="42" t="s">
        <v>458</v>
      </c>
      <c r="L1253" s="81" t="s">
        <v>459</v>
      </c>
      <c r="M1253" s="82" t="str">
        <f>LEFT(Table1[[#This Row],[Tegevusala kood]],2)</f>
        <v>10</v>
      </c>
      <c r="N1253" s="53" t="str">
        <f>VLOOKUP(Table1[[#This Row],[Tegevusala kood]],Table4[[Tegevusala kood]:[Tegevusala alanimetus]],2,FALSE)</f>
        <v>Vinni Perekodu</v>
      </c>
      <c r="O1253" s="42"/>
      <c r="P1253" s="42"/>
      <c r="Q1253" s="53" t="str">
        <f>VLOOKUP(Table1[[#This Row],[Eelarvekonto]],Table5[[Konto]:[Kontode alanimetus]],5,FALSE)</f>
        <v>Majandamiskulud</v>
      </c>
      <c r="R1253" s="53" t="str">
        <f>VLOOKUP(Table1[[#This Row],[Tegevusala kood]],Table4[[Tegevusala kood]:[Tegevusala alanimetus]],4,FALSE)</f>
        <v>Laste ja noorte sotsiaalhoolekande asutused</v>
      </c>
      <c r="S1253" s="53"/>
      <c r="T1253" s="53"/>
      <c r="U1253" s="53">
        <f>Table1[[#This Row],[Summa]]+Table1[[#This Row],[I Muudatus]]+Table1[[#This Row],[II Muudatus]]</f>
        <v>8000</v>
      </c>
    </row>
    <row r="1254" spans="1:21" ht="14.25" hidden="1" customHeight="1" x14ac:dyDescent="0.25">
      <c r="A1254" s="42" t="s">
        <v>144</v>
      </c>
      <c r="B1254" s="42">
        <v>10500</v>
      </c>
      <c r="C1254" s="53">
        <v>5500</v>
      </c>
      <c r="D1254" s="53" t="str">
        <f>LEFT(Table1[[#This Row],[Eelarvekonto]],2)</f>
        <v>55</v>
      </c>
      <c r="E1254" s="42" t="str">
        <f>VLOOKUP(Table1[[#This Row],[Eelarvekonto]],Table5[[Konto]:[Konto nimetus]],2,FALSE)</f>
        <v>Administreerimiskulud</v>
      </c>
      <c r="F1254" s="42" t="s">
        <v>139</v>
      </c>
      <c r="G1254" s="42" t="s">
        <v>24</v>
      </c>
      <c r="H1254" s="42"/>
      <c r="I1254" s="42"/>
      <c r="J1254" s="42" t="s">
        <v>460</v>
      </c>
      <c r="K1254" s="42" t="s">
        <v>458</v>
      </c>
      <c r="L1254" s="81" t="s">
        <v>459</v>
      </c>
      <c r="M1254" s="82" t="str">
        <f>LEFT(Table1[[#This Row],[Tegevusala kood]],2)</f>
        <v>10</v>
      </c>
      <c r="N1254" s="53" t="str">
        <f>VLOOKUP(Table1[[#This Row],[Tegevusala kood]],Table4[[Tegevusala kood]:[Tegevusala alanimetus]],2,FALSE)</f>
        <v>Vinni Perekodu</v>
      </c>
      <c r="O1254" s="42"/>
      <c r="P1254" s="42"/>
      <c r="Q1254" s="53" t="str">
        <f>VLOOKUP(Table1[[#This Row],[Eelarvekonto]],Table5[[Konto]:[Kontode alanimetus]],5,FALSE)</f>
        <v>Majandamiskulud</v>
      </c>
      <c r="R1254" s="53" t="str">
        <f>VLOOKUP(Table1[[#This Row],[Tegevusala kood]],Table4[[Tegevusala kood]:[Tegevusala alanimetus]],4,FALSE)</f>
        <v>Laste ja noorte sotsiaalhoolekande asutused</v>
      </c>
      <c r="S1254" s="53"/>
      <c r="T1254" s="53"/>
      <c r="U1254" s="53">
        <f>Table1[[#This Row],[Summa]]+Table1[[#This Row],[I Muudatus]]+Table1[[#This Row],[II Muudatus]]</f>
        <v>10500</v>
      </c>
    </row>
    <row r="1255" spans="1:21" ht="14.25" hidden="1" customHeight="1" x14ac:dyDescent="0.25">
      <c r="A1255" s="42" t="s">
        <v>158</v>
      </c>
      <c r="B1255" s="42">
        <v>142392</v>
      </c>
      <c r="C1255" s="53">
        <v>506</v>
      </c>
      <c r="D1255" s="53" t="str">
        <f>LEFT(Table1[[#This Row],[Eelarvekonto]],2)</f>
        <v>50</v>
      </c>
      <c r="E1255" s="42" t="str">
        <f>VLOOKUP(Table1[[#This Row],[Eelarvekonto]],Table5[[Konto]:[Konto nimetus]],2,FALSE)</f>
        <v>Tööjõukuludega kaasnevad maksud ja sotsiaalkindlustusmaksed</v>
      </c>
      <c r="F1255" s="42" t="s">
        <v>139</v>
      </c>
      <c r="G1255" s="42" t="s">
        <v>24</v>
      </c>
      <c r="H1255" s="42"/>
      <c r="I1255" s="42"/>
      <c r="J1255" s="42" t="s">
        <v>460</v>
      </c>
      <c r="K1255" s="42" t="s">
        <v>458</v>
      </c>
      <c r="L1255" s="81" t="s">
        <v>459</v>
      </c>
      <c r="M1255" s="82" t="str">
        <f>LEFT(Table1[[#This Row],[Tegevusala kood]],2)</f>
        <v>10</v>
      </c>
      <c r="N1255" s="53" t="str">
        <f>VLOOKUP(Table1[[#This Row],[Tegevusala kood]],Table4[[Tegevusala kood]:[Tegevusala alanimetus]],2,FALSE)</f>
        <v>Vinni Perekodu</v>
      </c>
      <c r="O1255" s="42"/>
      <c r="P1255" s="42"/>
      <c r="Q1255" s="53" t="str">
        <f>VLOOKUP(Table1[[#This Row],[Eelarvekonto]],Table5[[Konto]:[Kontode alanimetus]],5,FALSE)</f>
        <v>Tööjõukulud</v>
      </c>
      <c r="R1255" s="53" t="str">
        <f>VLOOKUP(Table1[[#This Row],[Tegevusala kood]],Table4[[Tegevusala kood]:[Tegevusala alanimetus]],4,FALSE)</f>
        <v>Laste ja noorte sotsiaalhoolekande asutused</v>
      </c>
      <c r="S1255" s="53"/>
      <c r="T1255" s="53"/>
      <c r="U1255" s="53">
        <f>Table1[[#This Row],[Summa]]+Table1[[#This Row],[I Muudatus]]+Table1[[#This Row],[II Muudatus]]</f>
        <v>142392</v>
      </c>
    </row>
    <row r="1256" spans="1:21" ht="14.25" hidden="1" customHeight="1" x14ac:dyDescent="0.25">
      <c r="A1256" s="42" t="s">
        <v>465</v>
      </c>
      <c r="B1256" s="42">
        <v>39000</v>
      </c>
      <c r="C1256" s="53">
        <v>5002</v>
      </c>
      <c r="D1256" s="53" t="str">
        <f>LEFT(Table1[[#This Row],[Eelarvekonto]],2)</f>
        <v>50</v>
      </c>
      <c r="E1256" s="42" t="str">
        <f>VLOOKUP(Table1[[#This Row],[Eelarvekonto]],Table5[[Konto]:[Konto nimetus]],2,FALSE)</f>
        <v>Töötajate töötasud</v>
      </c>
      <c r="F1256" s="42" t="s">
        <v>139</v>
      </c>
      <c r="G1256" s="42" t="s">
        <v>24</v>
      </c>
      <c r="H1256" s="42"/>
      <c r="I1256" s="42"/>
      <c r="J1256" s="42" t="s">
        <v>460</v>
      </c>
      <c r="K1256" s="42" t="s">
        <v>458</v>
      </c>
      <c r="L1256" s="81" t="s">
        <v>459</v>
      </c>
      <c r="M1256" s="82" t="str">
        <f>LEFT(Table1[[#This Row],[Tegevusala kood]],2)</f>
        <v>10</v>
      </c>
      <c r="N1256" s="53" t="str">
        <f>VLOOKUP(Table1[[#This Row],[Tegevusala kood]],Table4[[Tegevusala kood]:[Tegevusala alanimetus]],2,FALSE)</f>
        <v>Vinni Perekodu</v>
      </c>
      <c r="O1256" s="42"/>
      <c r="P1256" s="42"/>
      <c r="Q1256" s="53" t="str">
        <f>VLOOKUP(Table1[[#This Row],[Eelarvekonto]],Table5[[Konto]:[Kontode alanimetus]],5,FALSE)</f>
        <v>Tööjõukulud</v>
      </c>
      <c r="R1256" s="53" t="str">
        <f>VLOOKUP(Table1[[#This Row],[Tegevusala kood]],Table4[[Tegevusala kood]:[Tegevusala alanimetus]],4,FALSE)</f>
        <v>Laste ja noorte sotsiaalhoolekande asutused</v>
      </c>
      <c r="S1256" s="53"/>
      <c r="T1256" s="53"/>
      <c r="U1256" s="53">
        <f>Table1[[#This Row],[Summa]]+Table1[[#This Row],[I Muudatus]]+Table1[[#This Row],[II Muudatus]]</f>
        <v>39000</v>
      </c>
    </row>
    <row r="1257" spans="1:21" ht="14.25" hidden="1" customHeight="1" x14ac:dyDescent="0.25">
      <c r="A1257" s="42" t="s">
        <v>461</v>
      </c>
      <c r="B1257" s="42">
        <v>17550</v>
      </c>
      <c r="C1257" s="53">
        <v>5002</v>
      </c>
      <c r="D1257" s="53" t="str">
        <f>LEFT(Table1[[#This Row],[Eelarvekonto]],2)</f>
        <v>50</v>
      </c>
      <c r="E1257" s="42" t="str">
        <f>VLOOKUP(Table1[[#This Row],[Eelarvekonto]],Table5[[Konto]:[Konto nimetus]],2,FALSE)</f>
        <v>Töötajate töötasud</v>
      </c>
      <c r="F1257" s="42" t="s">
        <v>139</v>
      </c>
      <c r="G1257" s="42" t="s">
        <v>24</v>
      </c>
      <c r="H1257" s="42"/>
      <c r="I1257" s="42"/>
      <c r="J1257" s="42" t="s">
        <v>460</v>
      </c>
      <c r="K1257" s="42" t="s">
        <v>458</v>
      </c>
      <c r="L1257" s="81" t="s">
        <v>459</v>
      </c>
      <c r="M1257" s="82" t="str">
        <f>LEFT(Table1[[#This Row],[Tegevusala kood]],2)</f>
        <v>10</v>
      </c>
      <c r="N1257" s="53" t="str">
        <f>VLOOKUP(Table1[[#This Row],[Tegevusala kood]],Table4[[Tegevusala kood]:[Tegevusala alanimetus]],2,FALSE)</f>
        <v>Vinni Perekodu</v>
      </c>
      <c r="O1257" s="42"/>
      <c r="P1257" s="42"/>
      <c r="Q1257" s="53" t="str">
        <f>VLOOKUP(Table1[[#This Row],[Eelarvekonto]],Table5[[Konto]:[Kontode alanimetus]],5,FALSE)</f>
        <v>Tööjõukulud</v>
      </c>
      <c r="R1257" s="53" t="str">
        <f>VLOOKUP(Table1[[#This Row],[Tegevusala kood]],Table4[[Tegevusala kood]:[Tegevusala alanimetus]],4,FALSE)</f>
        <v>Laste ja noorte sotsiaalhoolekande asutused</v>
      </c>
      <c r="S1257" s="53"/>
      <c r="T1257" s="53"/>
      <c r="U1257" s="53">
        <f>Table1[[#This Row],[Summa]]+Table1[[#This Row],[I Muudatus]]+Table1[[#This Row],[II Muudatus]]</f>
        <v>17550</v>
      </c>
    </row>
    <row r="1258" spans="1:21" ht="14.25" hidden="1" customHeight="1" x14ac:dyDescent="0.25">
      <c r="A1258" s="42" t="s">
        <v>462</v>
      </c>
      <c r="B1258" s="42">
        <v>23400</v>
      </c>
      <c r="C1258" s="53">
        <v>5002</v>
      </c>
      <c r="D1258" s="53" t="str">
        <f>LEFT(Table1[[#This Row],[Eelarvekonto]],2)</f>
        <v>50</v>
      </c>
      <c r="E1258" s="42" t="str">
        <f>VLOOKUP(Table1[[#This Row],[Eelarvekonto]],Table5[[Konto]:[Konto nimetus]],2,FALSE)</f>
        <v>Töötajate töötasud</v>
      </c>
      <c r="F1258" s="42" t="s">
        <v>139</v>
      </c>
      <c r="G1258" s="42" t="s">
        <v>24</v>
      </c>
      <c r="H1258" s="42"/>
      <c r="I1258" s="42"/>
      <c r="J1258" s="42" t="s">
        <v>460</v>
      </c>
      <c r="K1258" s="42" t="s">
        <v>458</v>
      </c>
      <c r="L1258" s="81" t="s">
        <v>459</v>
      </c>
      <c r="M1258" s="82" t="str">
        <f>LEFT(Table1[[#This Row],[Tegevusala kood]],2)</f>
        <v>10</v>
      </c>
      <c r="N1258" s="53" t="str">
        <f>VLOOKUP(Table1[[#This Row],[Tegevusala kood]],Table4[[Tegevusala kood]:[Tegevusala alanimetus]],2,FALSE)</f>
        <v>Vinni Perekodu</v>
      </c>
      <c r="O1258" s="42"/>
      <c r="P1258" s="42"/>
      <c r="Q1258" s="53" t="str">
        <f>VLOOKUP(Table1[[#This Row],[Eelarvekonto]],Table5[[Konto]:[Kontode alanimetus]],5,FALSE)</f>
        <v>Tööjõukulud</v>
      </c>
      <c r="R1258" s="53" t="str">
        <f>VLOOKUP(Table1[[#This Row],[Tegevusala kood]],Table4[[Tegevusala kood]:[Tegevusala alanimetus]],4,FALSE)</f>
        <v>Laste ja noorte sotsiaalhoolekande asutused</v>
      </c>
      <c r="S1258" s="53"/>
      <c r="T1258" s="53"/>
      <c r="U1258" s="53">
        <f>Table1[[#This Row],[Summa]]+Table1[[#This Row],[I Muudatus]]+Table1[[#This Row],[II Muudatus]]</f>
        <v>23400</v>
      </c>
    </row>
    <row r="1259" spans="1:21" ht="14.25" hidden="1" customHeight="1" x14ac:dyDescent="0.25">
      <c r="A1259" s="42" t="s">
        <v>463</v>
      </c>
      <c r="B1259" s="42">
        <v>17550</v>
      </c>
      <c r="C1259" s="53">
        <v>5002</v>
      </c>
      <c r="D1259" s="53" t="str">
        <f>LEFT(Table1[[#This Row],[Eelarvekonto]],2)</f>
        <v>50</v>
      </c>
      <c r="E1259" s="42" t="str">
        <f>VLOOKUP(Table1[[#This Row],[Eelarvekonto]],Table5[[Konto]:[Konto nimetus]],2,FALSE)</f>
        <v>Töötajate töötasud</v>
      </c>
      <c r="F1259" s="42" t="s">
        <v>139</v>
      </c>
      <c r="G1259" s="42" t="s">
        <v>24</v>
      </c>
      <c r="H1259" s="42"/>
      <c r="I1259" s="42"/>
      <c r="J1259" s="42" t="s">
        <v>460</v>
      </c>
      <c r="K1259" s="42" t="s">
        <v>458</v>
      </c>
      <c r="L1259" s="81" t="s">
        <v>459</v>
      </c>
      <c r="M1259" s="82" t="str">
        <f>LEFT(Table1[[#This Row],[Tegevusala kood]],2)</f>
        <v>10</v>
      </c>
      <c r="N1259" s="53" t="str">
        <f>VLOOKUP(Table1[[#This Row],[Tegevusala kood]],Table4[[Tegevusala kood]:[Tegevusala alanimetus]],2,FALSE)</f>
        <v>Vinni Perekodu</v>
      </c>
      <c r="O1259" s="42"/>
      <c r="P1259" s="42"/>
      <c r="Q1259" s="53" t="str">
        <f>VLOOKUP(Table1[[#This Row],[Eelarvekonto]],Table5[[Konto]:[Kontode alanimetus]],5,FALSE)</f>
        <v>Tööjõukulud</v>
      </c>
      <c r="R1259" s="53" t="str">
        <f>VLOOKUP(Table1[[#This Row],[Tegevusala kood]],Table4[[Tegevusala kood]:[Tegevusala alanimetus]],4,FALSE)</f>
        <v>Laste ja noorte sotsiaalhoolekande asutused</v>
      </c>
      <c r="S1259" s="53"/>
      <c r="T1259" s="53"/>
      <c r="U1259" s="53">
        <f>Table1[[#This Row],[Summa]]+Table1[[#This Row],[I Muudatus]]+Table1[[#This Row],[II Muudatus]]</f>
        <v>17550</v>
      </c>
    </row>
    <row r="1260" spans="1:21" ht="14.25" hidden="1" customHeight="1" x14ac:dyDescent="0.25">
      <c r="A1260" s="42" t="s">
        <v>1341</v>
      </c>
      <c r="B1260" s="42">
        <v>10010</v>
      </c>
      <c r="C1260" s="53">
        <v>5002</v>
      </c>
      <c r="D1260" s="53" t="str">
        <f>LEFT(Table1[[#This Row],[Eelarvekonto]],2)</f>
        <v>50</v>
      </c>
      <c r="E1260" s="42" t="str">
        <f>VLOOKUP(Table1[[#This Row],[Eelarvekonto]],Table5[[Konto]:[Konto nimetus]],2,FALSE)</f>
        <v>Töötajate töötasud</v>
      </c>
      <c r="F1260" s="42" t="s">
        <v>139</v>
      </c>
      <c r="G1260" s="42" t="s">
        <v>24</v>
      </c>
      <c r="H1260" s="42"/>
      <c r="I1260" s="42"/>
      <c r="J1260" s="42" t="s">
        <v>460</v>
      </c>
      <c r="K1260" s="42" t="s">
        <v>458</v>
      </c>
      <c r="L1260" s="81" t="s">
        <v>459</v>
      </c>
      <c r="M1260" s="82" t="str">
        <f>LEFT(Table1[[#This Row],[Tegevusala kood]],2)</f>
        <v>10</v>
      </c>
      <c r="N1260" s="53" t="str">
        <f>VLOOKUP(Table1[[#This Row],[Tegevusala kood]],Table4[[Tegevusala kood]:[Tegevusala alanimetus]],2,FALSE)</f>
        <v>Vinni Perekodu</v>
      </c>
      <c r="O1260" s="42"/>
      <c r="P1260" s="42"/>
      <c r="Q1260" s="53" t="str">
        <f>VLOOKUP(Table1[[#This Row],[Eelarvekonto]],Table5[[Konto]:[Kontode alanimetus]],5,FALSE)</f>
        <v>Tööjõukulud</v>
      </c>
      <c r="R1260" s="53" t="str">
        <f>VLOOKUP(Table1[[#This Row],[Tegevusala kood]],Table4[[Tegevusala kood]:[Tegevusala alanimetus]],4,FALSE)</f>
        <v>Laste ja noorte sotsiaalhoolekande asutused</v>
      </c>
      <c r="S1260" s="53"/>
      <c r="T1260" s="53"/>
      <c r="U1260" s="53">
        <f>Table1[[#This Row],[Summa]]+Table1[[#This Row],[I Muudatus]]+Table1[[#This Row],[II Muudatus]]</f>
        <v>10010</v>
      </c>
    </row>
    <row r="1261" spans="1:21" ht="14.25" hidden="1" customHeight="1" x14ac:dyDescent="0.25">
      <c r="A1261" s="42" t="s">
        <v>1342</v>
      </c>
      <c r="B1261" s="42">
        <v>17550</v>
      </c>
      <c r="C1261" s="53">
        <v>5002</v>
      </c>
      <c r="D1261" s="53" t="str">
        <f>LEFT(Table1[[#This Row],[Eelarvekonto]],2)</f>
        <v>50</v>
      </c>
      <c r="E1261" s="42" t="str">
        <f>VLOOKUP(Table1[[#This Row],[Eelarvekonto]],Table5[[Konto]:[Konto nimetus]],2,FALSE)</f>
        <v>Töötajate töötasud</v>
      </c>
      <c r="F1261" s="42" t="s">
        <v>139</v>
      </c>
      <c r="G1261" s="42" t="s">
        <v>24</v>
      </c>
      <c r="H1261" s="42"/>
      <c r="I1261" s="42"/>
      <c r="J1261" s="42" t="s">
        <v>460</v>
      </c>
      <c r="K1261" s="42" t="s">
        <v>458</v>
      </c>
      <c r="L1261" s="81" t="s">
        <v>459</v>
      </c>
      <c r="M1261" s="82" t="str">
        <f>LEFT(Table1[[#This Row],[Tegevusala kood]],2)</f>
        <v>10</v>
      </c>
      <c r="N1261" s="53" t="str">
        <f>VLOOKUP(Table1[[#This Row],[Tegevusala kood]],Table4[[Tegevusala kood]:[Tegevusala alanimetus]],2,FALSE)</f>
        <v>Vinni Perekodu</v>
      </c>
      <c r="O1261" s="42"/>
      <c r="P1261" s="42"/>
      <c r="Q1261" s="53" t="str">
        <f>VLOOKUP(Table1[[#This Row],[Eelarvekonto]],Table5[[Konto]:[Kontode alanimetus]],5,FALSE)</f>
        <v>Tööjõukulud</v>
      </c>
      <c r="R1261" s="53" t="str">
        <f>VLOOKUP(Table1[[#This Row],[Tegevusala kood]],Table4[[Tegevusala kood]:[Tegevusala alanimetus]],4,FALSE)</f>
        <v>Laste ja noorte sotsiaalhoolekande asutused</v>
      </c>
      <c r="S1261" s="53"/>
      <c r="T1261" s="53"/>
      <c r="U1261" s="53">
        <f>Table1[[#This Row],[Summa]]+Table1[[#This Row],[I Muudatus]]+Table1[[#This Row],[II Muudatus]]</f>
        <v>17550</v>
      </c>
    </row>
    <row r="1262" spans="1:21" ht="14.25" hidden="1" customHeight="1" x14ac:dyDescent="0.25">
      <c r="A1262" s="42" t="s">
        <v>468</v>
      </c>
      <c r="B1262" s="42">
        <v>10800</v>
      </c>
      <c r="C1262" s="53">
        <v>4138</v>
      </c>
      <c r="D1262" s="53" t="str">
        <f>LEFT(Table1[[#This Row],[Eelarvekonto]],2)</f>
        <v>41</v>
      </c>
      <c r="E1262" s="42" t="str">
        <f>VLOOKUP(Table1[[#This Row],[Eelarvekonto]],Table5[[Konto]:[Konto nimetus]],2,FALSE)</f>
        <v>Muud sotsiaalabitoetused</v>
      </c>
      <c r="F1262" s="42" t="s">
        <v>139</v>
      </c>
      <c r="G1262" s="42" t="s">
        <v>24</v>
      </c>
      <c r="H1262" s="42"/>
      <c r="I1262" s="42"/>
      <c r="J1262" s="42" t="s">
        <v>460</v>
      </c>
      <c r="K1262" s="42" t="s">
        <v>458</v>
      </c>
      <c r="L1262" s="81" t="s">
        <v>459</v>
      </c>
      <c r="M1262" s="82" t="str">
        <f>LEFT(Table1[[#This Row],[Tegevusala kood]],2)</f>
        <v>10</v>
      </c>
      <c r="N1262" s="53" t="str">
        <f>VLOOKUP(Table1[[#This Row],[Tegevusala kood]],Table4[[Tegevusala kood]:[Tegevusala alanimetus]],2,FALSE)</f>
        <v>Vinni Perekodu</v>
      </c>
      <c r="O1262" s="42"/>
      <c r="P1262" s="42"/>
      <c r="Q1262" s="53" t="str">
        <f>VLOOKUP(Table1[[#This Row],[Eelarvekonto]],Table5[[Konto]:[Kontode alanimetus]],5,FALSE)</f>
        <v>Sotsiaalabitoetused ja muud toetused füüsilistele isikutele</v>
      </c>
      <c r="R1262" s="53" t="str">
        <f>VLOOKUP(Table1[[#This Row],[Tegevusala kood]],Table4[[Tegevusala kood]:[Tegevusala alanimetus]],4,FALSE)</f>
        <v>Laste ja noorte sotsiaalhoolekande asutused</v>
      </c>
      <c r="S1262" s="53"/>
      <c r="T1262" s="53"/>
      <c r="U1262" s="53">
        <f>Table1[[#This Row],[Summa]]+Table1[[#This Row],[I Muudatus]]+Table1[[#This Row],[II Muudatus]]</f>
        <v>10800</v>
      </c>
    </row>
    <row r="1263" spans="1:21" ht="14.25" hidden="1" customHeight="1" x14ac:dyDescent="0.25">
      <c r="A1263" s="42" t="s">
        <v>1364</v>
      </c>
      <c r="B1263" s="42">
        <v>2000</v>
      </c>
      <c r="C1263" s="53">
        <v>5511</v>
      </c>
      <c r="D1263" s="53" t="str">
        <f>LEFT(Table1[[#This Row],[Eelarvekonto]],2)</f>
        <v>55</v>
      </c>
      <c r="E1263" s="42" t="str">
        <f>VLOOKUP(Table1[[#This Row],[Eelarvekonto]],Table5[[Konto]:[Konto nimetus]],2,FALSE)</f>
        <v>Kinnistute, hoonete ja ruumide majandamiskulud</v>
      </c>
      <c r="F1263" s="42" t="s">
        <v>139</v>
      </c>
      <c r="G1263" s="42" t="s">
        <v>24</v>
      </c>
      <c r="H1263" s="42"/>
      <c r="I1263" s="42"/>
      <c r="J1263" s="42" t="s">
        <v>264</v>
      </c>
      <c r="K1263" s="42" t="s">
        <v>263</v>
      </c>
      <c r="L1263" s="81" t="s">
        <v>266</v>
      </c>
      <c r="M1263" s="82" t="str">
        <f>LEFT(Table1[[#This Row],[Tegevusala kood]],2)</f>
        <v>09</v>
      </c>
      <c r="N1263" s="53" t="str">
        <f>VLOOKUP(Table1[[#This Row],[Tegevusala kood]],Table4[[Tegevusala kood]:[Tegevusala alanimetus]],2,FALSE)</f>
        <v>Roela kool</v>
      </c>
      <c r="O1263" s="42"/>
      <c r="P1263" s="42"/>
      <c r="Q1263" s="53" t="str">
        <f>VLOOKUP(Table1[[#This Row],[Eelarvekonto]],Table5[[Konto]:[Kontode alanimetus]],5,FALSE)</f>
        <v>Majandamiskulud</v>
      </c>
      <c r="R1263" s="53" t="str">
        <f>VLOOKUP(Table1[[#This Row],[Tegevusala kood]],Table4[[Tegevusala kood]:[Tegevusala alanimetus]],4,FALSE)</f>
        <v>Põhihariduse otsekulud</v>
      </c>
      <c r="S1263" s="53"/>
      <c r="T1263" s="53"/>
      <c r="U1263" s="53">
        <f>Table1[[#This Row],[Summa]]+Table1[[#This Row],[I Muudatus]]+Table1[[#This Row],[II Muudatus]]</f>
        <v>2000</v>
      </c>
    </row>
    <row r="1264" spans="1:21" ht="14.25" hidden="1" customHeight="1" x14ac:dyDescent="0.25">
      <c r="A1264" s="42" t="s">
        <v>1359</v>
      </c>
      <c r="B1264" s="42">
        <v>1000</v>
      </c>
      <c r="C1264" s="53">
        <v>5513</v>
      </c>
      <c r="D1264" s="53" t="str">
        <f>LEFT(Table1[[#This Row],[Eelarvekonto]],2)</f>
        <v>55</v>
      </c>
      <c r="E1264" s="42" t="str">
        <f>VLOOKUP(Table1[[#This Row],[Eelarvekonto]],Table5[[Konto]:[Konto nimetus]],2,FALSE)</f>
        <v>Sõidukite ülalpidamise kulud</v>
      </c>
      <c r="F1264" s="42" t="s">
        <v>139</v>
      </c>
      <c r="G1264" s="42" t="s">
        <v>24</v>
      </c>
      <c r="H1264" s="42"/>
      <c r="I1264" s="42"/>
      <c r="J1264" s="42" t="s">
        <v>264</v>
      </c>
      <c r="K1264" s="42" t="s">
        <v>263</v>
      </c>
      <c r="L1264" s="81" t="s">
        <v>266</v>
      </c>
      <c r="M1264" s="82" t="str">
        <f>LEFT(Table1[[#This Row],[Tegevusala kood]],2)</f>
        <v>09</v>
      </c>
      <c r="N1264" s="53" t="str">
        <f>VLOOKUP(Table1[[#This Row],[Tegevusala kood]],Table4[[Tegevusala kood]:[Tegevusala alanimetus]],2,FALSE)</f>
        <v>Roela kool</v>
      </c>
      <c r="O1264" s="42"/>
      <c r="P1264" s="42"/>
      <c r="Q1264" s="53" t="str">
        <f>VLOOKUP(Table1[[#This Row],[Eelarvekonto]],Table5[[Konto]:[Kontode alanimetus]],5,FALSE)</f>
        <v>Majandamiskulud</v>
      </c>
      <c r="R1264" s="53" t="str">
        <f>VLOOKUP(Table1[[#This Row],[Tegevusala kood]],Table4[[Tegevusala kood]:[Tegevusala alanimetus]],4,FALSE)</f>
        <v>Põhihariduse otsekulud</v>
      </c>
      <c r="S1264" s="53"/>
      <c r="T1264" s="53"/>
      <c r="U1264" s="53">
        <f>Table1[[#This Row],[Summa]]+Table1[[#This Row],[I Muudatus]]+Table1[[#This Row],[II Muudatus]]</f>
        <v>1000</v>
      </c>
    </row>
    <row r="1265" spans="1:21" ht="14.25" hidden="1" customHeight="1" x14ac:dyDescent="0.25">
      <c r="A1265" s="42" t="s">
        <v>1360</v>
      </c>
      <c r="B1265" s="42">
        <v>500</v>
      </c>
      <c r="C1265" s="53">
        <v>5513</v>
      </c>
      <c r="D1265" s="53" t="str">
        <f>LEFT(Table1[[#This Row],[Eelarvekonto]],2)</f>
        <v>55</v>
      </c>
      <c r="E1265" s="42" t="str">
        <f>VLOOKUP(Table1[[#This Row],[Eelarvekonto]],Table5[[Konto]:[Konto nimetus]],2,FALSE)</f>
        <v>Sõidukite ülalpidamise kulud</v>
      </c>
      <c r="F1265" s="42" t="s">
        <v>139</v>
      </c>
      <c r="G1265" s="42" t="s">
        <v>24</v>
      </c>
      <c r="H1265" s="42"/>
      <c r="I1265" s="42"/>
      <c r="J1265" s="42" t="s">
        <v>264</v>
      </c>
      <c r="K1265" s="42" t="s">
        <v>263</v>
      </c>
      <c r="L1265" s="81" t="s">
        <v>266</v>
      </c>
      <c r="M1265" s="82" t="str">
        <f>LEFT(Table1[[#This Row],[Tegevusala kood]],2)</f>
        <v>09</v>
      </c>
      <c r="N1265" s="53" t="str">
        <f>VLOOKUP(Table1[[#This Row],[Tegevusala kood]],Table4[[Tegevusala kood]:[Tegevusala alanimetus]],2,FALSE)</f>
        <v>Roela kool</v>
      </c>
      <c r="O1265" s="42"/>
      <c r="P1265" s="42"/>
      <c r="Q1265" s="53" t="str">
        <f>VLOOKUP(Table1[[#This Row],[Eelarvekonto]],Table5[[Konto]:[Kontode alanimetus]],5,FALSE)</f>
        <v>Majandamiskulud</v>
      </c>
      <c r="R1265" s="53" t="str">
        <f>VLOOKUP(Table1[[#This Row],[Tegevusala kood]],Table4[[Tegevusala kood]:[Tegevusala alanimetus]],4,FALSE)</f>
        <v>Põhihariduse otsekulud</v>
      </c>
      <c r="S1265" s="53"/>
      <c r="T1265" s="53"/>
      <c r="U1265" s="53">
        <f>Table1[[#This Row],[Summa]]+Table1[[#This Row],[I Muudatus]]+Table1[[#This Row],[II Muudatus]]</f>
        <v>500</v>
      </c>
    </row>
    <row r="1266" spans="1:21" ht="14.25" hidden="1" customHeight="1" x14ac:dyDescent="0.25">
      <c r="A1266" s="42" t="s">
        <v>1361</v>
      </c>
      <c r="B1266" s="42">
        <v>620</v>
      </c>
      <c r="C1266" s="53">
        <v>5513</v>
      </c>
      <c r="D1266" s="53" t="str">
        <f>LEFT(Table1[[#This Row],[Eelarvekonto]],2)</f>
        <v>55</v>
      </c>
      <c r="E1266" s="42" t="str">
        <f>VLOOKUP(Table1[[#This Row],[Eelarvekonto]],Table5[[Konto]:[Konto nimetus]],2,FALSE)</f>
        <v>Sõidukite ülalpidamise kulud</v>
      </c>
      <c r="F1266" s="42" t="s">
        <v>139</v>
      </c>
      <c r="G1266" s="42" t="s">
        <v>24</v>
      </c>
      <c r="H1266" s="42"/>
      <c r="I1266" s="42"/>
      <c r="J1266" s="42" t="s">
        <v>264</v>
      </c>
      <c r="K1266" s="42" t="s">
        <v>263</v>
      </c>
      <c r="L1266" s="81" t="s">
        <v>266</v>
      </c>
      <c r="M1266" s="82" t="str">
        <f>LEFT(Table1[[#This Row],[Tegevusala kood]],2)</f>
        <v>09</v>
      </c>
      <c r="N1266" s="53" t="str">
        <f>VLOOKUP(Table1[[#This Row],[Tegevusala kood]],Table4[[Tegevusala kood]:[Tegevusala alanimetus]],2,FALSE)</f>
        <v>Roela kool</v>
      </c>
      <c r="O1266" s="42"/>
      <c r="P1266" s="42"/>
      <c r="Q1266" s="53" t="str">
        <f>VLOOKUP(Table1[[#This Row],[Eelarvekonto]],Table5[[Konto]:[Kontode alanimetus]],5,FALSE)</f>
        <v>Majandamiskulud</v>
      </c>
      <c r="R1266" s="53" t="str">
        <f>VLOOKUP(Table1[[#This Row],[Tegevusala kood]],Table4[[Tegevusala kood]:[Tegevusala alanimetus]],4,FALSE)</f>
        <v>Põhihariduse otsekulud</v>
      </c>
      <c r="S1266" s="53"/>
      <c r="T1266" s="53"/>
      <c r="U1266" s="53">
        <f>Table1[[#This Row],[Summa]]+Table1[[#This Row],[I Muudatus]]+Table1[[#This Row],[II Muudatus]]</f>
        <v>620</v>
      </c>
    </row>
    <row r="1267" spans="1:21" ht="14.25" hidden="1" customHeight="1" x14ac:dyDescent="0.25">
      <c r="A1267" s="42" t="s">
        <v>272</v>
      </c>
      <c r="B1267" s="42">
        <v>20</v>
      </c>
      <c r="C1267" s="53">
        <v>5514</v>
      </c>
      <c r="D1267" s="53" t="str">
        <f>LEFT(Table1[[#This Row],[Eelarvekonto]],2)</f>
        <v>55</v>
      </c>
      <c r="E1267" s="42" t="str">
        <f>VLOOKUP(Table1[[#This Row],[Eelarvekonto]],Table5[[Konto]:[Konto nimetus]],2,FALSE)</f>
        <v>Info- ja kommunikatsioonitehnoloogia kulud</v>
      </c>
      <c r="F1267" s="42" t="s">
        <v>139</v>
      </c>
      <c r="G1267" s="42" t="s">
        <v>24</v>
      </c>
      <c r="H1267" s="42"/>
      <c r="I1267" s="42"/>
      <c r="J1267" s="42" t="s">
        <v>264</v>
      </c>
      <c r="K1267" s="42" t="s">
        <v>263</v>
      </c>
      <c r="L1267" s="81" t="s">
        <v>266</v>
      </c>
      <c r="M1267" s="82" t="str">
        <f>LEFT(Table1[[#This Row],[Tegevusala kood]],2)</f>
        <v>09</v>
      </c>
      <c r="N1267" s="53" t="str">
        <f>VLOOKUP(Table1[[#This Row],[Tegevusala kood]],Table4[[Tegevusala kood]:[Tegevusala alanimetus]],2,FALSE)</f>
        <v>Roela kool</v>
      </c>
      <c r="O1267" s="42"/>
      <c r="P1267" s="42"/>
      <c r="Q1267" s="53" t="str">
        <f>VLOOKUP(Table1[[#This Row],[Eelarvekonto]],Table5[[Konto]:[Kontode alanimetus]],5,FALSE)</f>
        <v>Majandamiskulud</v>
      </c>
      <c r="R1267" s="53" t="str">
        <f>VLOOKUP(Table1[[#This Row],[Tegevusala kood]],Table4[[Tegevusala kood]:[Tegevusala alanimetus]],4,FALSE)</f>
        <v>Põhihariduse otsekulud</v>
      </c>
      <c r="S1267" s="53"/>
      <c r="T1267" s="53"/>
      <c r="U1267" s="53">
        <f>Table1[[#This Row],[Summa]]+Table1[[#This Row],[I Muudatus]]+Table1[[#This Row],[II Muudatus]]</f>
        <v>20</v>
      </c>
    </row>
    <row r="1268" spans="1:21" ht="14.25" hidden="1" customHeight="1" x14ac:dyDescent="0.25">
      <c r="A1268" s="42" t="s">
        <v>1358</v>
      </c>
      <c r="B1268" s="42">
        <v>1700</v>
      </c>
      <c r="C1268" s="53">
        <v>5514</v>
      </c>
      <c r="D1268" s="53" t="str">
        <f>LEFT(Table1[[#This Row],[Eelarvekonto]],2)</f>
        <v>55</v>
      </c>
      <c r="E1268" s="42" t="str">
        <f>VLOOKUP(Table1[[#This Row],[Eelarvekonto]],Table5[[Konto]:[Konto nimetus]],2,FALSE)</f>
        <v>Info- ja kommunikatsioonitehnoloogia kulud</v>
      </c>
      <c r="F1268" s="42" t="s">
        <v>139</v>
      </c>
      <c r="G1268" s="42" t="s">
        <v>24</v>
      </c>
      <c r="H1268" s="42"/>
      <c r="I1268" s="42"/>
      <c r="J1268" s="42" t="s">
        <v>264</v>
      </c>
      <c r="K1268" s="42" t="s">
        <v>263</v>
      </c>
      <c r="L1268" s="81" t="s">
        <v>266</v>
      </c>
      <c r="M1268" s="82" t="str">
        <f>LEFT(Table1[[#This Row],[Tegevusala kood]],2)</f>
        <v>09</v>
      </c>
      <c r="N1268" s="53" t="str">
        <f>VLOOKUP(Table1[[#This Row],[Tegevusala kood]],Table4[[Tegevusala kood]:[Tegevusala alanimetus]],2,FALSE)</f>
        <v>Roela kool</v>
      </c>
      <c r="O1268" s="42"/>
      <c r="P1268" s="42"/>
      <c r="Q1268" s="53" t="str">
        <f>VLOOKUP(Table1[[#This Row],[Eelarvekonto]],Table5[[Konto]:[Kontode alanimetus]],5,FALSE)</f>
        <v>Majandamiskulud</v>
      </c>
      <c r="R1268" s="53" t="str">
        <f>VLOOKUP(Table1[[#This Row],[Tegevusala kood]],Table4[[Tegevusala kood]:[Tegevusala alanimetus]],4,FALSE)</f>
        <v>Põhihariduse otsekulud</v>
      </c>
      <c r="S1268" s="53"/>
      <c r="T1268" s="53"/>
      <c r="U1268" s="53">
        <f>Table1[[#This Row],[Summa]]+Table1[[#This Row],[I Muudatus]]+Table1[[#This Row],[II Muudatus]]</f>
        <v>1700</v>
      </c>
    </row>
    <row r="1269" spans="1:21" ht="14.25" hidden="1" customHeight="1" x14ac:dyDescent="0.25">
      <c r="A1269" s="42" t="s">
        <v>265</v>
      </c>
      <c r="B1269" s="42">
        <v>200</v>
      </c>
      <c r="C1269" s="53">
        <v>5515</v>
      </c>
      <c r="D1269" s="53" t="str">
        <f>LEFT(Table1[[#This Row],[Eelarvekonto]],2)</f>
        <v>55</v>
      </c>
      <c r="E1269" s="42" t="str">
        <f>VLOOKUP(Table1[[#This Row],[Eelarvekonto]],Table5[[Konto]:[Konto nimetus]],2,FALSE)</f>
        <v>Inventari majandamiskulud</v>
      </c>
      <c r="F1269" s="42" t="s">
        <v>139</v>
      </c>
      <c r="G1269" s="42" t="s">
        <v>24</v>
      </c>
      <c r="H1269" s="42"/>
      <c r="I1269" s="42"/>
      <c r="J1269" s="42" t="s">
        <v>264</v>
      </c>
      <c r="K1269" s="42" t="s">
        <v>263</v>
      </c>
      <c r="L1269" s="81" t="s">
        <v>266</v>
      </c>
      <c r="M1269" s="82" t="str">
        <f>LEFT(Table1[[#This Row],[Tegevusala kood]],2)</f>
        <v>09</v>
      </c>
      <c r="N1269" s="53" t="str">
        <f>VLOOKUP(Table1[[#This Row],[Tegevusala kood]],Table4[[Tegevusala kood]:[Tegevusala alanimetus]],2,FALSE)</f>
        <v>Roela kool</v>
      </c>
      <c r="O1269" s="42"/>
      <c r="P1269" s="42"/>
      <c r="Q1269" s="53" t="str">
        <f>VLOOKUP(Table1[[#This Row],[Eelarvekonto]],Table5[[Konto]:[Kontode alanimetus]],5,FALSE)</f>
        <v>Majandamiskulud</v>
      </c>
      <c r="R1269" s="53" t="str">
        <f>VLOOKUP(Table1[[#This Row],[Tegevusala kood]],Table4[[Tegevusala kood]:[Tegevusala alanimetus]],4,FALSE)</f>
        <v>Põhihariduse otsekulud</v>
      </c>
      <c r="S1269" s="53"/>
      <c r="T1269" s="53"/>
      <c r="U1269" s="53">
        <f>Table1[[#This Row],[Summa]]+Table1[[#This Row],[I Muudatus]]+Table1[[#This Row],[II Muudatus]]</f>
        <v>200</v>
      </c>
    </row>
    <row r="1270" spans="1:21" ht="14.25" hidden="1" customHeight="1" x14ac:dyDescent="0.25">
      <c r="A1270" s="42" t="s">
        <v>1357</v>
      </c>
      <c r="B1270" s="42">
        <v>200</v>
      </c>
      <c r="C1270" s="53">
        <v>5515</v>
      </c>
      <c r="D1270" s="53" t="str">
        <f>LEFT(Table1[[#This Row],[Eelarvekonto]],2)</f>
        <v>55</v>
      </c>
      <c r="E1270" s="42" t="str">
        <f>VLOOKUP(Table1[[#This Row],[Eelarvekonto]],Table5[[Konto]:[Konto nimetus]],2,FALSE)</f>
        <v>Inventari majandamiskulud</v>
      </c>
      <c r="F1270" s="42" t="s">
        <v>139</v>
      </c>
      <c r="G1270" s="42" t="s">
        <v>24</v>
      </c>
      <c r="H1270" s="42"/>
      <c r="I1270" s="42"/>
      <c r="J1270" s="42" t="s">
        <v>264</v>
      </c>
      <c r="K1270" s="42" t="s">
        <v>263</v>
      </c>
      <c r="L1270" s="81" t="s">
        <v>266</v>
      </c>
      <c r="M1270" s="82" t="str">
        <f>LEFT(Table1[[#This Row],[Tegevusala kood]],2)</f>
        <v>09</v>
      </c>
      <c r="N1270" s="53" t="str">
        <f>VLOOKUP(Table1[[#This Row],[Tegevusala kood]],Table4[[Tegevusala kood]:[Tegevusala alanimetus]],2,FALSE)</f>
        <v>Roela kool</v>
      </c>
      <c r="O1270" s="42"/>
      <c r="P1270" s="42"/>
      <c r="Q1270" s="53" t="str">
        <f>VLOOKUP(Table1[[#This Row],[Eelarvekonto]],Table5[[Konto]:[Kontode alanimetus]],5,FALSE)</f>
        <v>Majandamiskulud</v>
      </c>
      <c r="R1270" s="53" t="str">
        <f>VLOOKUP(Table1[[#This Row],[Tegevusala kood]],Table4[[Tegevusala kood]:[Tegevusala alanimetus]],4,FALSE)</f>
        <v>Põhihariduse otsekulud</v>
      </c>
      <c r="S1270" s="53"/>
      <c r="T1270" s="53"/>
      <c r="U1270" s="53">
        <f>Table1[[#This Row],[Summa]]+Table1[[#This Row],[I Muudatus]]+Table1[[#This Row],[II Muudatus]]</f>
        <v>200</v>
      </c>
    </row>
    <row r="1271" spans="1:21" ht="14.25" hidden="1" customHeight="1" x14ac:dyDescent="0.25">
      <c r="A1271" s="42" t="s">
        <v>1354</v>
      </c>
      <c r="B1271" s="42">
        <v>1000</v>
      </c>
      <c r="C1271" s="53">
        <v>5522</v>
      </c>
      <c r="D1271" s="53" t="str">
        <f>LEFT(Table1[[#This Row],[Eelarvekonto]],2)</f>
        <v>55</v>
      </c>
      <c r="E1271" s="42" t="str">
        <f>VLOOKUP(Table1[[#This Row],[Eelarvekonto]],Table5[[Konto]:[Konto nimetus]],2,FALSE)</f>
        <v>Meditsiinikulud ja hügieenikulud</v>
      </c>
      <c r="F1271" s="42" t="s">
        <v>139</v>
      </c>
      <c r="G1271" s="42" t="s">
        <v>24</v>
      </c>
      <c r="H1271" s="42"/>
      <c r="I1271" s="42"/>
      <c r="J1271" s="42" t="s">
        <v>264</v>
      </c>
      <c r="K1271" s="42" t="s">
        <v>263</v>
      </c>
      <c r="L1271" s="81" t="s">
        <v>266</v>
      </c>
      <c r="M1271" s="82" t="str">
        <f>LEFT(Table1[[#This Row],[Tegevusala kood]],2)</f>
        <v>09</v>
      </c>
      <c r="N1271" s="53" t="str">
        <f>VLOOKUP(Table1[[#This Row],[Tegevusala kood]],Table4[[Tegevusala kood]:[Tegevusala alanimetus]],2,FALSE)</f>
        <v>Roela kool</v>
      </c>
      <c r="O1271" s="42"/>
      <c r="P1271" s="42"/>
      <c r="Q1271" s="53" t="str">
        <f>VLOOKUP(Table1[[#This Row],[Eelarvekonto]],Table5[[Konto]:[Kontode alanimetus]],5,FALSE)</f>
        <v>Majandamiskulud</v>
      </c>
      <c r="R1271" s="53" t="str">
        <f>VLOOKUP(Table1[[#This Row],[Tegevusala kood]],Table4[[Tegevusala kood]:[Tegevusala alanimetus]],4,FALSE)</f>
        <v>Põhihariduse otsekulud</v>
      </c>
      <c r="S1271" s="53"/>
      <c r="T1271" s="53"/>
      <c r="U1271" s="53">
        <f>Table1[[#This Row],[Summa]]+Table1[[#This Row],[I Muudatus]]+Table1[[#This Row],[II Muudatus]]</f>
        <v>1000</v>
      </c>
    </row>
    <row r="1272" spans="1:21" ht="14.25" hidden="1" customHeight="1" x14ac:dyDescent="0.25">
      <c r="A1272" s="42" t="s">
        <v>1355</v>
      </c>
      <c r="B1272" s="42">
        <v>100</v>
      </c>
      <c r="C1272" s="53">
        <v>5522</v>
      </c>
      <c r="D1272" s="53" t="str">
        <f>LEFT(Table1[[#This Row],[Eelarvekonto]],2)</f>
        <v>55</v>
      </c>
      <c r="E1272" s="42" t="str">
        <f>VLOOKUP(Table1[[#This Row],[Eelarvekonto]],Table5[[Konto]:[Konto nimetus]],2,FALSE)</f>
        <v>Meditsiinikulud ja hügieenikulud</v>
      </c>
      <c r="F1272" s="42" t="s">
        <v>139</v>
      </c>
      <c r="G1272" s="42" t="s">
        <v>24</v>
      </c>
      <c r="H1272" s="42"/>
      <c r="I1272" s="42"/>
      <c r="J1272" s="42" t="s">
        <v>264</v>
      </c>
      <c r="K1272" s="42" t="s">
        <v>263</v>
      </c>
      <c r="L1272" s="81" t="s">
        <v>266</v>
      </c>
      <c r="M1272" s="82" t="str">
        <f>LEFT(Table1[[#This Row],[Tegevusala kood]],2)</f>
        <v>09</v>
      </c>
      <c r="N1272" s="53" t="str">
        <f>VLOOKUP(Table1[[#This Row],[Tegevusala kood]],Table4[[Tegevusala kood]:[Tegevusala alanimetus]],2,FALSE)</f>
        <v>Roela kool</v>
      </c>
      <c r="O1272" s="42"/>
      <c r="P1272" s="42"/>
      <c r="Q1272" s="53" t="str">
        <f>VLOOKUP(Table1[[#This Row],[Eelarvekonto]],Table5[[Konto]:[Kontode alanimetus]],5,FALSE)</f>
        <v>Majandamiskulud</v>
      </c>
      <c r="R1272" s="53" t="str">
        <f>VLOOKUP(Table1[[#This Row],[Tegevusala kood]],Table4[[Tegevusala kood]:[Tegevusala alanimetus]],4,FALSE)</f>
        <v>Põhihariduse otsekulud</v>
      </c>
      <c r="S1272" s="53"/>
      <c r="T1272" s="53"/>
      <c r="U1272" s="53">
        <f>Table1[[#This Row],[Summa]]+Table1[[#This Row],[I Muudatus]]+Table1[[#This Row],[II Muudatus]]</f>
        <v>100</v>
      </c>
    </row>
    <row r="1273" spans="1:21" ht="14.25" hidden="1" customHeight="1" x14ac:dyDescent="0.25">
      <c r="A1273" s="42" t="s">
        <v>1356</v>
      </c>
      <c r="B1273" s="42">
        <v>150</v>
      </c>
      <c r="C1273" s="53">
        <v>5522</v>
      </c>
      <c r="D1273" s="53" t="str">
        <f>LEFT(Table1[[#This Row],[Eelarvekonto]],2)</f>
        <v>55</v>
      </c>
      <c r="E1273" s="42" t="str">
        <f>VLOOKUP(Table1[[#This Row],[Eelarvekonto]],Table5[[Konto]:[Konto nimetus]],2,FALSE)</f>
        <v>Meditsiinikulud ja hügieenikulud</v>
      </c>
      <c r="F1273" s="42" t="s">
        <v>139</v>
      </c>
      <c r="G1273" s="42" t="s">
        <v>24</v>
      </c>
      <c r="H1273" s="42"/>
      <c r="I1273" s="42"/>
      <c r="J1273" s="42" t="s">
        <v>264</v>
      </c>
      <c r="K1273" s="42" t="s">
        <v>263</v>
      </c>
      <c r="L1273" s="81" t="s">
        <v>266</v>
      </c>
      <c r="M1273" s="82" t="str">
        <f>LEFT(Table1[[#This Row],[Tegevusala kood]],2)</f>
        <v>09</v>
      </c>
      <c r="N1273" s="53" t="str">
        <f>VLOOKUP(Table1[[#This Row],[Tegevusala kood]],Table4[[Tegevusala kood]:[Tegevusala alanimetus]],2,FALSE)</f>
        <v>Roela kool</v>
      </c>
      <c r="O1273" s="42"/>
      <c r="P1273" s="42"/>
      <c r="Q1273" s="53" t="str">
        <f>VLOOKUP(Table1[[#This Row],[Eelarvekonto]],Table5[[Konto]:[Kontode alanimetus]],5,FALSE)</f>
        <v>Majandamiskulud</v>
      </c>
      <c r="R1273" s="53" t="str">
        <f>VLOOKUP(Table1[[#This Row],[Tegevusala kood]],Table4[[Tegevusala kood]:[Tegevusala alanimetus]],4,FALSE)</f>
        <v>Põhihariduse otsekulud</v>
      </c>
      <c r="S1273" s="53"/>
      <c r="T1273" s="53"/>
      <c r="U1273" s="53">
        <f>Table1[[#This Row],[Summa]]+Table1[[#This Row],[I Muudatus]]+Table1[[#This Row],[II Muudatus]]</f>
        <v>150</v>
      </c>
    </row>
    <row r="1274" spans="1:21" ht="14.25" hidden="1" customHeight="1" x14ac:dyDescent="0.25">
      <c r="A1274" s="42" t="s">
        <v>1346</v>
      </c>
      <c r="B1274" s="42">
        <v>150</v>
      </c>
      <c r="C1274" s="53">
        <v>5524</v>
      </c>
      <c r="D1274" s="53" t="str">
        <f>LEFT(Table1[[#This Row],[Eelarvekonto]],2)</f>
        <v>55</v>
      </c>
      <c r="E1274" s="42" t="str">
        <f>VLOOKUP(Table1[[#This Row],[Eelarvekonto]],Table5[[Konto]:[Konto nimetus]],2,FALSE)</f>
        <v>Õppevahendite ja koolituse kulud</v>
      </c>
      <c r="F1274" s="42" t="s">
        <v>139</v>
      </c>
      <c r="G1274" s="42" t="s">
        <v>24</v>
      </c>
      <c r="H1274" s="42"/>
      <c r="I1274" s="42"/>
      <c r="J1274" s="42" t="s">
        <v>264</v>
      </c>
      <c r="K1274" s="42" t="s">
        <v>263</v>
      </c>
      <c r="L1274" s="81" t="s">
        <v>266</v>
      </c>
      <c r="M1274" s="82" t="str">
        <f>LEFT(Table1[[#This Row],[Tegevusala kood]],2)</f>
        <v>09</v>
      </c>
      <c r="N1274" s="53" t="str">
        <f>VLOOKUP(Table1[[#This Row],[Tegevusala kood]],Table4[[Tegevusala kood]:[Tegevusala alanimetus]],2,FALSE)</f>
        <v>Roela kool</v>
      </c>
      <c r="O1274" s="42"/>
      <c r="P1274" s="42"/>
      <c r="Q1274" s="53" t="str">
        <f>VLOOKUP(Table1[[#This Row],[Eelarvekonto]],Table5[[Konto]:[Kontode alanimetus]],5,FALSE)</f>
        <v>Majandamiskulud</v>
      </c>
      <c r="R1274" s="53" t="str">
        <f>VLOOKUP(Table1[[#This Row],[Tegevusala kood]],Table4[[Tegevusala kood]:[Tegevusala alanimetus]],4,FALSE)</f>
        <v>Põhihariduse otsekulud</v>
      </c>
      <c r="S1274" s="53"/>
      <c r="T1274" s="53"/>
      <c r="U1274" s="53">
        <f>Table1[[#This Row],[Summa]]+Table1[[#This Row],[I Muudatus]]+Table1[[#This Row],[II Muudatus]]</f>
        <v>150</v>
      </c>
    </row>
    <row r="1275" spans="1:21" ht="14.25" hidden="1" customHeight="1" x14ac:dyDescent="0.25">
      <c r="A1275" s="42" t="s">
        <v>1347</v>
      </c>
      <c r="B1275" s="42">
        <v>300</v>
      </c>
      <c r="C1275" s="53">
        <v>5524</v>
      </c>
      <c r="D1275" s="53" t="str">
        <f>LEFT(Table1[[#This Row],[Eelarvekonto]],2)</f>
        <v>55</v>
      </c>
      <c r="E1275" s="42" t="str">
        <f>VLOOKUP(Table1[[#This Row],[Eelarvekonto]],Table5[[Konto]:[Konto nimetus]],2,FALSE)</f>
        <v>Õppevahendite ja koolituse kulud</v>
      </c>
      <c r="F1275" s="42" t="s">
        <v>139</v>
      </c>
      <c r="G1275" s="42" t="s">
        <v>24</v>
      </c>
      <c r="H1275" s="42"/>
      <c r="I1275" s="42"/>
      <c r="J1275" s="42" t="s">
        <v>264</v>
      </c>
      <c r="K1275" s="42" t="s">
        <v>263</v>
      </c>
      <c r="L1275" s="81" t="s">
        <v>266</v>
      </c>
      <c r="M1275" s="82" t="str">
        <f>LEFT(Table1[[#This Row],[Tegevusala kood]],2)</f>
        <v>09</v>
      </c>
      <c r="N1275" s="53" t="str">
        <f>VLOOKUP(Table1[[#This Row],[Tegevusala kood]],Table4[[Tegevusala kood]:[Tegevusala alanimetus]],2,FALSE)</f>
        <v>Roela kool</v>
      </c>
      <c r="O1275" s="42"/>
      <c r="P1275" s="42"/>
      <c r="Q1275" s="53" t="str">
        <f>VLOOKUP(Table1[[#This Row],[Eelarvekonto]],Table5[[Konto]:[Kontode alanimetus]],5,FALSE)</f>
        <v>Majandamiskulud</v>
      </c>
      <c r="R1275" s="53" t="str">
        <f>VLOOKUP(Table1[[#This Row],[Tegevusala kood]],Table4[[Tegevusala kood]:[Tegevusala alanimetus]],4,FALSE)</f>
        <v>Põhihariduse otsekulud</v>
      </c>
      <c r="S1275" s="53"/>
      <c r="T1275" s="53"/>
      <c r="U1275" s="53">
        <f>Table1[[#This Row],[Summa]]+Table1[[#This Row],[I Muudatus]]+Table1[[#This Row],[II Muudatus]]</f>
        <v>300</v>
      </c>
    </row>
    <row r="1276" spans="1:21" ht="14.25" hidden="1" customHeight="1" x14ac:dyDescent="0.25">
      <c r="A1276" s="42" t="s">
        <v>1348</v>
      </c>
      <c r="B1276" s="42">
        <v>200</v>
      </c>
      <c r="C1276" s="53">
        <v>5524</v>
      </c>
      <c r="D1276" s="53" t="str">
        <f>LEFT(Table1[[#This Row],[Eelarvekonto]],2)</f>
        <v>55</v>
      </c>
      <c r="E1276" s="42" t="str">
        <f>VLOOKUP(Table1[[#This Row],[Eelarvekonto]],Table5[[Konto]:[Konto nimetus]],2,FALSE)</f>
        <v>Õppevahendite ja koolituse kulud</v>
      </c>
      <c r="F1276" s="42" t="s">
        <v>139</v>
      </c>
      <c r="G1276" s="42" t="s">
        <v>24</v>
      </c>
      <c r="H1276" s="42"/>
      <c r="I1276" s="42"/>
      <c r="J1276" s="42" t="s">
        <v>264</v>
      </c>
      <c r="K1276" s="42" t="s">
        <v>263</v>
      </c>
      <c r="L1276" s="81" t="s">
        <v>266</v>
      </c>
      <c r="M1276" s="82" t="str">
        <f>LEFT(Table1[[#This Row],[Tegevusala kood]],2)</f>
        <v>09</v>
      </c>
      <c r="N1276" s="53" t="str">
        <f>VLOOKUP(Table1[[#This Row],[Tegevusala kood]],Table4[[Tegevusala kood]:[Tegevusala alanimetus]],2,FALSE)</f>
        <v>Roela kool</v>
      </c>
      <c r="O1276" s="42"/>
      <c r="P1276" s="42"/>
      <c r="Q1276" s="53" t="str">
        <f>VLOOKUP(Table1[[#This Row],[Eelarvekonto]],Table5[[Konto]:[Kontode alanimetus]],5,FALSE)</f>
        <v>Majandamiskulud</v>
      </c>
      <c r="R1276" s="53" t="str">
        <f>VLOOKUP(Table1[[#This Row],[Tegevusala kood]],Table4[[Tegevusala kood]:[Tegevusala alanimetus]],4,FALSE)</f>
        <v>Põhihariduse otsekulud</v>
      </c>
      <c r="S1276" s="53"/>
      <c r="T1276" s="53"/>
      <c r="U1276" s="53">
        <f>Table1[[#This Row],[Summa]]+Table1[[#This Row],[I Muudatus]]+Table1[[#This Row],[II Muudatus]]</f>
        <v>200</v>
      </c>
    </row>
    <row r="1277" spans="1:21" ht="14.25" hidden="1" customHeight="1" x14ac:dyDescent="0.25">
      <c r="A1277" s="42" t="s">
        <v>1349</v>
      </c>
      <c r="B1277" s="42">
        <v>300</v>
      </c>
      <c r="C1277" s="53">
        <v>5524</v>
      </c>
      <c r="D1277" s="53" t="str">
        <f>LEFT(Table1[[#This Row],[Eelarvekonto]],2)</f>
        <v>55</v>
      </c>
      <c r="E1277" s="42" t="str">
        <f>VLOOKUP(Table1[[#This Row],[Eelarvekonto]],Table5[[Konto]:[Konto nimetus]],2,FALSE)</f>
        <v>Õppevahendite ja koolituse kulud</v>
      </c>
      <c r="F1277" s="42" t="s">
        <v>139</v>
      </c>
      <c r="G1277" s="42" t="s">
        <v>24</v>
      </c>
      <c r="H1277" s="42"/>
      <c r="I1277" s="42"/>
      <c r="J1277" s="42" t="s">
        <v>264</v>
      </c>
      <c r="K1277" s="42" t="s">
        <v>263</v>
      </c>
      <c r="L1277" s="81" t="s">
        <v>266</v>
      </c>
      <c r="M1277" s="82" t="str">
        <f>LEFT(Table1[[#This Row],[Tegevusala kood]],2)</f>
        <v>09</v>
      </c>
      <c r="N1277" s="53" t="str">
        <f>VLOOKUP(Table1[[#This Row],[Tegevusala kood]],Table4[[Tegevusala kood]:[Tegevusala alanimetus]],2,FALSE)</f>
        <v>Roela kool</v>
      </c>
      <c r="O1277" s="42"/>
      <c r="P1277" s="42"/>
      <c r="Q1277" s="53" t="str">
        <f>VLOOKUP(Table1[[#This Row],[Eelarvekonto]],Table5[[Konto]:[Kontode alanimetus]],5,FALSE)</f>
        <v>Majandamiskulud</v>
      </c>
      <c r="R1277" s="53" t="str">
        <f>VLOOKUP(Table1[[#This Row],[Tegevusala kood]],Table4[[Tegevusala kood]:[Tegevusala alanimetus]],4,FALSE)</f>
        <v>Põhihariduse otsekulud</v>
      </c>
      <c r="S1277" s="53"/>
      <c r="T1277" s="53"/>
      <c r="U1277" s="53">
        <f>Table1[[#This Row],[Summa]]+Table1[[#This Row],[I Muudatus]]+Table1[[#This Row],[II Muudatus]]</f>
        <v>300</v>
      </c>
    </row>
    <row r="1278" spans="1:21" ht="14.25" hidden="1" customHeight="1" x14ac:dyDescent="0.25">
      <c r="A1278" s="42" t="s">
        <v>1350</v>
      </c>
      <c r="B1278" s="42">
        <v>300</v>
      </c>
      <c r="C1278" s="53">
        <v>5524</v>
      </c>
      <c r="D1278" s="53" t="str">
        <f>LEFT(Table1[[#This Row],[Eelarvekonto]],2)</f>
        <v>55</v>
      </c>
      <c r="E1278" s="42" t="str">
        <f>VLOOKUP(Table1[[#This Row],[Eelarvekonto]],Table5[[Konto]:[Konto nimetus]],2,FALSE)</f>
        <v>Õppevahendite ja koolituse kulud</v>
      </c>
      <c r="F1278" s="42" t="s">
        <v>139</v>
      </c>
      <c r="G1278" s="42" t="s">
        <v>24</v>
      </c>
      <c r="H1278" s="42"/>
      <c r="I1278" s="42"/>
      <c r="J1278" s="42" t="s">
        <v>264</v>
      </c>
      <c r="K1278" s="42" t="s">
        <v>263</v>
      </c>
      <c r="L1278" s="81" t="s">
        <v>266</v>
      </c>
      <c r="M1278" s="82" t="str">
        <f>LEFT(Table1[[#This Row],[Tegevusala kood]],2)</f>
        <v>09</v>
      </c>
      <c r="N1278" s="53" t="str">
        <f>VLOOKUP(Table1[[#This Row],[Tegevusala kood]],Table4[[Tegevusala kood]:[Tegevusala alanimetus]],2,FALSE)</f>
        <v>Roela kool</v>
      </c>
      <c r="O1278" s="42"/>
      <c r="P1278" s="42"/>
      <c r="Q1278" s="53" t="str">
        <f>VLOOKUP(Table1[[#This Row],[Eelarvekonto]],Table5[[Konto]:[Kontode alanimetus]],5,FALSE)</f>
        <v>Majandamiskulud</v>
      </c>
      <c r="R1278" s="53" t="str">
        <f>VLOOKUP(Table1[[#This Row],[Tegevusala kood]],Table4[[Tegevusala kood]:[Tegevusala alanimetus]],4,FALSE)</f>
        <v>Põhihariduse otsekulud</v>
      </c>
      <c r="S1278" s="53"/>
      <c r="T1278" s="53"/>
      <c r="U1278" s="53">
        <f>Table1[[#This Row],[Summa]]+Table1[[#This Row],[I Muudatus]]+Table1[[#This Row],[II Muudatus]]</f>
        <v>300</v>
      </c>
    </row>
    <row r="1279" spans="1:21" ht="14.25" hidden="1" customHeight="1" x14ac:dyDescent="0.25">
      <c r="A1279" s="42" t="s">
        <v>187</v>
      </c>
      <c r="B1279" s="42">
        <v>1200</v>
      </c>
      <c r="C1279" s="53">
        <v>5524</v>
      </c>
      <c r="D1279" s="53" t="str">
        <f>LEFT(Table1[[#This Row],[Eelarvekonto]],2)</f>
        <v>55</v>
      </c>
      <c r="E1279" s="42" t="str">
        <f>VLOOKUP(Table1[[#This Row],[Eelarvekonto]],Table5[[Konto]:[Konto nimetus]],2,FALSE)</f>
        <v>Õppevahendite ja koolituse kulud</v>
      </c>
      <c r="F1279" s="42" t="s">
        <v>139</v>
      </c>
      <c r="G1279" s="42" t="s">
        <v>24</v>
      </c>
      <c r="H1279" s="42"/>
      <c r="I1279" s="42"/>
      <c r="J1279" s="42" t="s">
        <v>264</v>
      </c>
      <c r="K1279" s="42" t="s">
        <v>263</v>
      </c>
      <c r="L1279" s="81" t="s">
        <v>266</v>
      </c>
      <c r="M1279" s="82" t="str">
        <f>LEFT(Table1[[#This Row],[Tegevusala kood]],2)</f>
        <v>09</v>
      </c>
      <c r="N1279" s="53" t="str">
        <f>VLOOKUP(Table1[[#This Row],[Tegevusala kood]],Table4[[Tegevusala kood]:[Tegevusala alanimetus]],2,FALSE)</f>
        <v>Roela kool</v>
      </c>
      <c r="O1279" s="42"/>
      <c r="P1279" s="42"/>
      <c r="Q1279" s="53" t="str">
        <f>VLOOKUP(Table1[[#This Row],[Eelarvekonto]],Table5[[Konto]:[Kontode alanimetus]],5,FALSE)</f>
        <v>Majandamiskulud</v>
      </c>
      <c r="R1279" s="53" t="str">
        <f>VLOOKUP(Table1[[#This Row],[Tegevusala kood]],Table4[[Tegevusala kood]:[Tegevusala alanimetus]],4,FALSE)</f>
        <v>Põhihariduse otsekulud</v>
      </c>
      <c r="S1279" s="53"/>
      <c r="T1279" s="53"/>
      <c r="U1279" s="53">
        <f>Table1[[#This Row],[Summa]]+Table1[[#This Row],[I Muudatus]]+Table1[[#This Row],[II Muudatus]]</f>
        <v>1200</v>
      </c>
    </row>
    <row r="1280" spans="1:21" ht="14.25" hidden="1" customHeight="1" x14ac:dyDescent="0.25">
      <c r="A1280" s="42" t="s">
        <v>268</v>
      </c>
      <c r="B1280" s="42">
        <v>276</v>
      </c>
      <c r="C1280" s="53">
        <v>5524</v>
      </c>
      <c r="D1280" s="53" t="str">
        <f>LEFT(Table1[[#This Row],[Eelarvekonto]],2)</f>
        <v>55</v>
      </c>
      <c r="E1280" s="42" t="str">
        <f>VLOOKUP(Table1[[#This Row],[Eelarvekonto]],Table5[[Konto]:[Konto nimetus]],2,FALSE)</f>
        <v>Õppevahendite ja koolituse kulud</v>
      </c>
      <c r="F1280" s="42" t="s">
        <v>139</v>
      </c>
      <c r="G1280" s="42" t="s">
        <v>24</v>
      </c>
      <c r="H1280" s="42"/>
      <c r="I1280" s="42"/>
      <c r="J1280" s="42" t="s">
        <v>264</v>
      </c>
      <c r="K1280" s="42" t="s">
        <v>263</v>
      </c>
      <c r="L1280" s="81" t="s">
        <v>266</v>
      </c>
      <c r="M1280" s="82" t="str">
        <f>LEFT(Table1[[#This Row],[Tegevusala kood]],2)</f>
        <v>09</v>
      </c>
      <c r="N1280" s="53" t="str">
        <f>VLOOKUP(Table1[[#This Row],[Tegevusala kood]],Table4[[Tegevusala kood]:[Tegevusala alanimetus]],2,FALSE)</f>
        <v>Roela kool</v>
      </c>
      <c r="O1280" s="42"/>
      <c r="P1280" s="42"/>
      <c r="Q1280" s="53" t="str">
        <f>VLOOKUP(Table1[[#This Row],[Eelarvekonto]],Table5[[Konto]:[Kontode alanimetus]],5,FALSE)</f>
        <v>Majandamiskulud</v>
      </c>
      <c r="R1280" s="53" t="str">
        <f>VLOOKUP(Table1[[#This Row],[Tegevusala kood]],Table4[[Tegevusala kood]:[Tegevusala alanimetus]],4,FALSE)</f>
        <v>Põhihariduse otsekulud</v>
      </c>
      <c r="S1280" s="53"/>
      <c r="T1280" s="53"/>
      <c r="U1280" s="53">
        <f>Table1[[#This Row],[Summa]]+Table1[[#This Row],[I Muudatus]]+Table1[[#This Row],[II Muudatus]]</f>
        <v>276</v>
      </c>
    </row>
    <row r="1281" spans="1:21" ht="14.25" hidden="1" customHeight="1" x14ac:dyDescent="0.25">
      <c r="A1281" s="42" t="s">
        <v>1351</v>
      </c>
      <c r="B1281" s="42">
        <v>1000</v>
      </c>
      <c r="C1281" s="53">
        <v>5524</v>
      </c>
      <c r="D1281" s="53" t="str">
        <f>LEFT(Table1[[#This Row],[Eelarvekonto]],2)</f>
        <v>55</v>
      </c>
      <c r="E1281" s="42" t="s">
        <v>1441</v>
      </c>
      <c r="F1281" s="42" t="s">
        <v>139</v>
      </c>
      <c r="G1281" s="42" t="s">
        <v>24</v>
      </c>
      <c r="H1281" s="42"/>
      <c r="I1281" s="42"/>
      <c r="J1281" s="42" t="s">
        <v>264</v>
      </c>
      <c r="K1281" s="42" t="s">
        <v>263</v>
      </c>
      <c r="L1281" s="81" t="s">
        <v>266</v>
      </c>
      <c r="M1281" s="82" t="str">
        <f>LEFT(Table1[[#This Row],[Tegevusala kood]],2)</f>
        <v>09</v>
      </c>
      <c r="N1281" s="53" t="str">
        <f>VLOOKUP(Table1[[#This Row],[Tegevusala kood]],Table4[[Tegevusala kood]:[Tegevusala alanimetus]],2,FALSE)</f>
        <v>Roela kool</v>
      </c>
      <c r="O1281" s="42"/>
      <c r="P1281" s="42"/>
      <c r="Q1281" s="53" t="str">
        <f>VLOOKUP(Table1[[#This Row],[Eelarvekonto]],Table5[[Konto]:[Kontode alanimetus]],5,FALSE)</f>
        <v>Majandamiskulud</v>
      </c>
      <c r="R1281" s="53" t="str">
        <f>VLOOKUP(Table1[[#This Row],[Tegevusala kood]],Table4[[Tegevusala kood]:[Tegevusala alanimetus]],4,FALSE)</f>
        <v>Põhihariduse otsekulud</v>
      </c>
      <c r="S1281" s="53"/>
      <c r="T1281" s="53"/>
      <c r="U1281" s="53">
        <f>Table1[[#This Row],[Summa]]+Table1[[#This Row],[I Muudatus]]+Table1[[#This Row],[II Muudatus]]</f>
        <v>1000</v>
      </c>
    </row>
    <row r="1282" spans="1:21" ht="14.25" hidden="1" customHeight="1" x14ac:dyDescent="0.25">
      <c r="A1282" s="42" t="s">
        <v>1352</v>
      </c>
      <c r="B1282" s="42">
        <v>3500</v>
      </c>
      <c r="C1282" s="53">
        <v>5524</v>
      </c>
      <c r="D1282" s="53" t="str">
        <f>LEFT(Table1[[#This Row],[Eelarvekonto]],2)</f>
        <v>55</v>
      </c>
      <c r="E1282" s="42" t="str">
        <f>VLOOKUP(Table1[[#This Row],[Eelarvekonto]],Table5[[Konto]:[Konto nimetus]],2,FALSE)</f>
        <v>Õppevahendite ja koolituse kulud</v>
      </c>
      <c r="F1282" s="42" t="s">
        <v>139</v>
      </c>
      <c r="G1282" s="42" t="s">
        <v>24</v>
      </c>
      <c r="H1282" s="42"/>
      <c r="I1282" s="42"/>
      <c r="J1282" s="42" t="s">
        <v>264</v>
      </c>
      <c r="K1282" s="42" t="s">
        <v>263</v>
      </c>
      <c r="L1282" s="81" t="s">
        <v>266</v>
      </c>
      <c r="M1282" s="82" t="str">
        <f>LEFT(Table1[[#This Row],[Tegevusala kood]],2)</f>
        <v>09</v>
      </c>
      <c r="N1282" s="53" t="str">
        <f>VLOOKUP(Table1[[#This Row],[Tegevusala kood]],Table4[[Tegevusala kood]:[Tegevusala alanimetus]],2,FALSE)</f>
        <v>Roela kool</v>
      </c>
      <c r="O1282" s="42"/>
      <c r="P1282" s="42"/>
      <c r="Q1282" s="53" t="str">
        <f>VLOOKUP(Table1[[#This Row],[Eelarvekonto]],Table5[[Konto]:[Kontode alanimetus]],5,FALSE)</f>
        <v>Majandamiskulud</v>
      </c>
      <c r="R1282" s="53" t="str">
        <f>VLOOKUP(Table1[[#This Row],[Tegevusala kood]],Table4[[Tegevusala kood]:[Tegevusala alanimetus]],4,FALSE)</f>
        <v>Põhihariduse otsekulud</v>
      </c>
      <c r="S1282" s="53"/>
      <c r="T1282" s="53"/>
      <c r="U1282" s="53">
        <f>Table1[[#This Row],[Summa]]+Table1[[#This Row],[I Muudatus]]+Table1[[#This Row],[II Muudatus]]</f>
        <v>3500</v>
      </c>
    </row>
    <row r="1283" spans="1:21" ht="14.25" hidden="1" customHeight="1" x14ac:dyDescent="0.25">
      <c r="A1283" s="42" t="s">
        <v>1353</v>
      </c>
      <c r="B1283" s="42">
        <v>200</v>
      </c>
      <c r="C1283" s="53">
        <v>5524</v>
      </c>
      <c r="D1283" s="53" t="str">
        <f>LEFT(Table1[[#This Row],[Eelarvekonto]],2)</f>
        <v>55</v>
      </c>
      <c r="E1283" s="42" t="str">
        <f>VLOOKUP(Table1[[#This Row],[Eelarvekonto]],Table5[[Konto]:[Konto nimetus]],2,FALSE)</f>
        <v>Õppevahendite ja koolituse kulud</v>
      </c>
      <c r="F1283" s="42" t="s">
        <v>139</v>
      </c>
      <c r="G1283" s="42" t="s">
        <v>24</v>
      </c>
      <c r="H1283" s="42"/>
      <c r="I1283" s="42"/>
      <c r="J1283" s="42" t="s">
        <v>264</v>
      </c>
      <c r="K1283" s="42" t="s">
        <v>263</v>
      </c>
      <c r="L1283" s="81" t="s">
        <v>266</v>
      </c>
      <c r="M1283" s="82" t="str">
        <f>LEFT(Table1[[#This Row],[Tegevusala kood]],2)</f>
        <v>09</v>
      </c>
      <c r="N1283" s="53" t="str">
        <f>VLOOKUP(Table1[[#This Row],[Tegevusala kood]],Table4[[Tegevusala kood]:[Tegevusala alanimetus]],2,FALSE)</f>
        <v>Roela kool</v>
      </c>
      <c r="O1283" s="42"/>
      <c r="P1283" s="42"/>
      <c r="Q1283" s="53" t="str">
        <f>VLOOKUP(Table1[[#This Row],[Eelarvekonto]],Table5[[Konto]:[Kontode alanimetus]],5,FALSE)</f>
        <v>Majandamiskulud</v>
      </c>
      <c r="R1283" s="53" t="str">
        <f>VLOOKUP(Table1[[#This Row],[Tegevusala kood]],Table4[[Tegevusala kood]:[Tegevusala alanimetus]],4,FALSE)</f>
        <v>Põhihariduse otsekulud</v>
      </c>
      <c r="S1283" s="53"/>
      <c r="T1283" s="53"/>
      <c r="U1283" s="53">
        <f>Table1[[#This Row],[Summa]]+Table1[[#This Row],[I Muudatus]]+Table1[[#This Row],[II Muudatus]]</f>
        <v>200</v>
      </c>
    </row>
    <row r="1284" spans="1:21" ht="14.25" hidden="1" customHeight="1" x14ac:dyDescent="0.25">
      <c r="A1284" s="42" t="s">
        <v>1345</v>
      </c>
      <c r="B1284" s="42">
        <v>700</v>
      </c>
      <c r="C1284" s="53">
        <v>5525</v>
      </c>
      <c r="D1284" s="53" t="str">
        <f>LEFT(Table1[[#This Row],[Eelarvekonto]],2)</f>
        <v>55</v>
      </c>
      <c r="E1284" s="42" t="str">
        <f>VLOOKUP(Table1[[#This Row],[Eelarvekonto]],Table5[[Konto]:[Konto nimetus]],2,FALSE)</f>
        <v>Kommunikatsiooni-, kultuuri- ja vaba aja sisustamise kulud</v>
      </c>
      <c r="F1284" s="42" t="s">
        <v>139</v>
      </c>
      <c r="G1284" s="42" t="s">
        <v>24</v>
      </c>
      <c r="H1284" s="42"/>
      <c r="I1284" s="42"/>
      <c r="J1284" s="42" t="s">
        <v>264</v>
      </c>
      <c r="K1284" s="42" t="s">
        <v>263</v>
      </c>
      <c r="L1284" s="81" t="s">
        <v>266</v>
      </c>
      <c r="M1284" s="82" t="str">
        <f>LEFT(Table1[[#This Row],[Tegevusala kood]],2)</f>
        <v>09</v>
      </c>
      <c r="N1284" s="53" t="str">
        <f>VLOOKUP(Table1[[#This Row],[Tegevusala kood]],Table4[[Tegevusala kood]:[Tegevusala alanimetus]],2,FALSE)</f>
        <v>Roela kool</v>
      </c>
      <c r="O1284" s="42"/>
      <c r="P1284" s="42"/>
      <c r="Q1284" s="53" t="str">
        <f>VLOOKUP(Table1[[#This Row],[Eelarvekonto]],Table5[[Konto]:[Kontode alanimetus]],5,FALSE)</f>
        <v>Majandamiskulud</v>
      </c>
      <c r="R1284" s="53" t="str">
        <f>VLOOKUP(Table1[[#This Row],[Tegevusala kood]],Table4[[Tegevusala kood]:[Tegevusala alanimetus]],4,FALSE)</f>
        <v>Põhihariduse otsekulud</v>
      </c>
      <c r="S1284" s="53"/>
      <c r="T1284" s="53"/>
      <c r="U1284" s="53">
        <f>Table1[[#This Row],[Summa]]+Table1[[#This Row],[I Muudatus]]+Table1[[#This Row],[II Muudatus]]</f>
        <v>700</v>
      </c>
    </row>
    <row r="1285" spans="1:21" ht="14.25" hidden="1" customHeight="1" x14ac:dyDescent="0.25">
      <c r="A1285" s="42" t="s">
        <v>276</v>
      </c>
      <c r="B1285" s="42">
        <v>100</v>
      </c>
      <c r="C1285" s="53">
        <v>5525</v>
      </c>
      <c r="D1285" s="53" t="str">
        <f>LEFT(Table1[[#This Row],[Eelarvekonto]],2)</f>
        <v>55</v>
      </c>
      <c r="E1285" s="42" t="str">
        <f>VLOOKUP(Table1[[#This Row],[Eelarvekonto]],Table5[[Konto]:[Konto nimetus]],2,FALSE)</f>
        <v>Kommunikatsiooni-, kultuuri- ja vaba aja sisustamise kulud</v>
      </c>
      <c r="F1285" s="42" t="s">
        <v>139</v>
      </c>
      <c r="G1285" s="42" t="s">
        <v>24</v>
      </c>
      <c r="H1285" s="42"/>
      <c r="I1285" s="42"/>
      <c r="J1285" s="42" t="s">
        <v>264</v>
      </c>
      <c r="K1285" s="42" t="s">
        <v>263</v>
      </c>
      <c r="L1285" s="81" t="s">
        <v>266</v>
      </c>
      <c r="M1285" s="82" t="str">
        <f>LEFT(Table1[[#This Row],[Tegevusala kood]],2)</f>
        <v>09</v>
      </c>
      <c r="N1285" s="53" t="str">
        <f>VLOOKUP(Table1[[#This Row],[Tegevusala kood]],Table4[[Tegevusala kood]:[Tegevusala alanimetus]],2,FALSE)</f>
        <v>Roela kool</v>
      </c>
      <c r="O1285" s="42"/>
      <c r="P1285" s="42"/>
      <c r="Q1285" s="53" t="str">
        <f>VLOOKUP(Table1[[#This Row],[Eelarvekonto]],Table5[[Konto]:[Kontode alanimetus]],5,FALSE)</f>
        <v>Majandamiskulud</v>
      </c>
      <c r="R1285" s="53" t="str">
        <f>VLOOKUP(Table1[[#This Row],[Tegevusala kood]],Table4[[Tegevusala kood]:[Tegevusala alanimetus]],4,FALSE)</f>
        <v>Põhihariduse otsekulud</v>
      </c>
      <c r="S1285" s="53"/>
      <c r="T1285" s="53"/>
      <c r="U1285" s="53">
        <f>Table1[[#This Row],[Summa]]+Table1[[#This Row],[I Muudatus]]+Table1[[#This Row],[II Muudatus]]</f>
        <v>100</v>
      </c>
    </row>
    <row r="1286" spans="1:21" ht="14.25" hidden="1" customHeight="1" x14ac:dyDescent="0.25">
      <c r="A1286" s="42" t="s">
        <v>275</v>
      </c>
      <c r="B1286" s="42">
        <v>200</v>
      </c>
      <c r="C1286" s="53">
        <v>5525</v>
      </c>
      <c r="D1286" s="53" t="str">
        <f>LEFT(Table1[[#This Row],[Eelarvekonto]],2)</f>
        <v>55</v>
      </c>
      <c r="E1286" s="42" t="str">
        <f>VLOOKUP(Table1[[#This Row],[Eelarvekonto]],Table5[[Konto]:[Konto nimetus]],2,FALSE)</f>
        <v>Kommunikatsiooni-, kultuuri- ja vaba aja sisustamise kulud</v>
      </c>
      <c r="F1286" s="42" t="s">
        <v>139</v>
      </c>
      <c r="G1286" s="42" t="s">
        <v>24</v>
      </c>
      <c r="H1286" s="42"/>
      <c r="I1286" s="42"/>
      <c r="J1286" s="42" t="s">
        <v>264</v>
      </c>
      <c r="K1286" s="42" t="s">
        <v>263</v>
      </c>
      <c r="L1286" s="81" t="s">
        <v>266</v>
      </c>
      <c r="M1286" s="82" t="str">
        <f>LEFT(Table1[[#This Row],[Tegevusala kood]],2)</f>
        <v>09</v>
      </c>
      <c r="N1286" s="53" t="str">
        <f>VLOOKUP(Table1[[#This Row],[Tegevusala kood]],Table4[[Tegevusala kood]:[Tegevusala alanimetus]],2,FALSE)</f>
        <v>Roela kool</v>
      </c>
      <c r="O1286" s="42"/>
      <c r="P1286" s="42"/>
      <c r="Q1286" s="53" t="str">
        <f>VLOOKUP(Table1[[#This Row],[Eelarvekonto]],Table5[[Konto]:[Kontode alanimetus]],5,FALSE)</f>
        <v>Majandamiskulud</v>
      </c>
      <c r="R1286" s="53" t="str">
        <f>VLOOKUP(Table1[[#This Row],[Tegevusala kood]],Table4[[Tegevusala kood]:[Tegevusala alanimetus]],4,FALSE)</f>
        <v>Põhihariduse otsekulud</v>
      </c>
      <c r="S1286" s="53"/>
      <c r="T1286" s="53"/>
      <c r="U1286" s="53">
        <f>Table1[[#This Row],[Summa]]+Table1[[#This Row],[I Muudatus]]+Table1[[#This Row],[II Muudatus]]</f>
        <v>200</v>
      </c>
    </row>
    <row r="1287" spans="1:21" ht="14.25" hidden="1" customHeight="1" x14ac:dyDescent="0.25">
      <c r="A1287" s="42" t="s">
        <v>274</v>
      </c>
      <c r="B1287" s="42">
        <v>150</v>
      </c>
      <c r="C1287" s="53">
        <v>5525</v>
      </c>
      <c r="D1287" s="53" t="str">
        <f>LEFT(Table1[[#This Row],[Eelarvekonto]],2)</f>
        <v>55</v>
      </c>
      <c r="E1287" s="42" t="str">
        <f>VLOOKUP(Table1[[#This Row],[Eelarvekonto]],Table5[[Konto]:[Konto nimetus]],2,FALSE)</f>
        <v>Kommunikatsiooni-, kultuuri- ja vaba aja sisustamise kulud</v>
      </c>
      <c r="F1287" s="42" t="s">
        <v>139</v>
      </c>
      <c r="G1287" s="42" t="s">
        <v>24</v>
      </c>
      <c r="H1287" s="42"/>
      <c r="I1287" s="42"/>
      <c r="J1287" s="42" t="s">
        <v>264</v>
      </c>
      <c r="K1287" s="42" t="s">
        <v>263</v>
      </c>
      <c r="L1287" s="81" t="s">
        <v>266</v>
      </c>
      <c r="M1287" s="82" t="str">
        <f>LEFT(Table1[[#This Row],[Tegevusala kood]],2)</f>
        <v>09</v>
      </c>
      <c r="N1287" s="53" t="str">
        <f>VLOOKUP(Table1[[#This Row],[Tegevusala kood]],Table4[[Tegevusala kood]:[Tegevusala alanimetus]],2,FALSE)</f>
        <v>Roela kool</v>
      </c>
      <c r="O1287" s="42"/>
      <c r="P1287" s="42"/>
      <c r="Q1287" s="53" t="str">
        <f>VLOOKUP(Table1[[#This Row],[Eelarvekonto]],Table5[[Konto]:[Kontode alanimetus]],5,FALSE)</f>
        <v>Majandamiskulud</v>
      </c>
      <c r="R1287" s="53" t="str">
        <f>VLOOKUP(Table1[[#This Row],[Tegevusala kood]],Table4[[Tegevusala kood]:[Tegevusala alanimetus]],4,FALSE)</f>
        <v>Põhihariduse otsekulud</v>
      </c>
      <c r="S1287" s="53"/>
      <c r="T1287" s="53"/>
      <c r="U1287" s="53">
        <f>Table1[[#This Row],[Summa]]+Table1[[#This Row],[I Muudatus]]+Table1[[#This Row],[II Muudatus]]</f>
        <v>150</v>
      </c>
    </row>
    <row r="1288" spans="1:21" ht="14.25" hidden="1" customHeight="1" x14ac:dyDescent="0.25">
      <c r="A1288" s="42" t="s">
        <v>1296</v>
      </c>
      <c r="B1288" s="42">
        <v>300</v>
      </c>
      <c r="C1288" s="53">
        <v>5525</v>
      </c>
      <c r="D1288" s="53" t="str">
        <f>LEFT(Table1[[#This Row],[Eelarvekonto]],2)</f>
        <v>55</v>
      </c>
      <c r="E1288" s="42" t="str">
        <f>VLOOKUP(Table1[[#This Row],[Eelarvekonto]],Table5[[Konto]:[Konto nimetus]],2,FALSE)</f>
        <v>Kommunikatsiooni-, kultuuri- ja vaba aja sisustamise kulud</v>
      </c>
      <c r="F1288" s="42" t="s">
        <v>139</v>
      </c>
      <c r="G1288" s="42" t="s">
        <v>24</v>
      </c>
      <c r="H1288" s="42"/>
      <c r="I1288" s="42"/>
      <c r="J1288" s="42" t="s">
        <v>264</v>
      </c>
      <c r="K1288" s="42" t="s">
        <v>263</v>
      </c>
      <c r="L1288" s="81" t="s">
        <v>266</v>
      </c>
      <c r="M1288" s="82" t="str">
        <f>LEFT(Table1[[#This Row],[Tegevusala kood]],2)</f>
        <v>09</v>
      </c>
      <c r="N1288" s="53" t="str">
        <f>VLOOKUP(Table1[[#This Row],[Tegevusala kood]],Table4[[Tegevusala kood]:[Tegevusala alanimetus]],2,FALSE)</f>
        <v>Roela kool</v>
      </c>
      <c r="O1288" s="42"/>
      <c r="P1288" s="42"/>
      <c r="Q1288" s="53" t="str">
        <f>VLOOKUP(Table1[[#This Row],[Eelarvekonto]],Table5[[Konto]:[Kontode alanimetus]],5,FALSE)</f>
        <v>Majandamiskulud</v>
      </c>
      <c r="R1288" s="53" t="str">
        <f>VLOOKUP(Table1[[#This Row],[Tegevusala kood]],Table4[[Tegevusala kood]:[Tegevusala alanimetus]],4,FALSE)</f>
        <v>Põhihariduse otsekulud</v>
      </c>
      <c r="S1288" s="53"/>
      <c r="T1288" s="53"/>
      <c r="U1288" s="53">
        <f>Table1[[#This Row],[Summa]]+Table1[[#This Row],[I Muudatus]]+Table1[[#This Row],[II Muudatus]]</f>
        <v>300</v>
      </c>
    </row>
    <row r="1289" spans="1:21" ht="14.25" hidden="1" customHeight="1" x14ac:dyDescent="0.25">
      <c r="A1289" s="68" t="s">
        <v>148</v>
      </c>
      <c r="B1289" s="68">
        <v>39960</v>
      </c>
      <c r="C1289" s="52">
        <v>551100</v>
      </c>
      <c r="D1289" s="52" t="str">
        <f>LEFT(Table1[[#This Row],[Eelarvekonto]],2)</f>
        <v>55</v>
      </c>
      <c r="E1289" s="68" t="str">
        <f>VLOOKUP(Table1[[#This Row],[Eelarvekonto]],Table5[[Konto]:[Konto nimetus]],2,FALSE)</f>
        <v>Küte ja soojusenergia</v>
      </c>
      <c r="F1289" s="68" t="s">
        <v>139</v>
      </c>
      <c r="G1289" s="68" t="s">
        <v>24</v>
      </c>
      <c r="H1289" s="68"/>
      <c r="I1289" s="68"/>
      <c r="J1289" s="68" t="s">
        <v>264</v>
      </c>
      <c r="K1289" s="68" t="s">
        <v>263</v>
      </c>
      <c r="L1289" s="58" t="s">
        <v>266</v>
      </c>
      <c r="M1289" s="58" t="str">
        <f>LEFT(Table1[[#This Row],[Tegevusala kood]],2)</f>
        <v>09</v>
      </c>
      <c r="N1289" s="68" t="str">
        <f>VLOOKUP(Table1[[#This Row],[Tegevusala kood]],Table4[[Tegevusala kood]:[Tegevusala alanimetus]],2,FALSE)</f>
        <v>Roela kool</v>
      </c>
      <c r="O1289" s="68" t="s">
        <v>1</v>
      </c>
      <c r="P1289" s="68" t="s">
        <v>1</v>
      </c>
      <c r="Q1289" s="68" t="str">
        <f>VLOOKUP(Table1[[#This Row],[Eelarvekonto]],Table5[[Konto]:[Kontode alanimetus]],5,FALSE)</f>
        <v>Majandamiskulud</v>
      </c>
      <c r="R1289" s="42" t="str">
        <f>VLOOKUP(Table1[[#This Row],[Tegevusala kood]],Table4[[Tegevusala kood]:[Tegevusala alanimetus]],4,FALSE)</f>
        <v>Põhihariduse otsekulud</v>
      </c>
      <c r="S1289" s="53"/>
      <c r="T1289" s="53"/>
      <c r="U1289" s="53">
        <f>Table1[[#This Row],[Summa]]+Table1[[#This Row],[I Muudatus]]+Table1[[#This Row],[II Muudatus]]</f>
        <v>39960</v>
      </c>
    </row>
    <row r="1290" spans="1:21" ht="14.25" hidden="1" customHeight="1" x14ac:dyDescent="0.25">
      <c r="A1290" s="68" t="s">
        <v>149</v>
      </c>
      <c r="B1290" s="68">
        <v>8220</v>
      </c>
      <c r="C1290" s="52">
        <v>551101</v>
      </c>
      <c r="D1290" s="52" t="str">
        <f>LEFT(Table1[[#This Row],[Eelarvekonto]],2)</f>
        <v>55</v>
      </c>
      <c r="E1290" s="68" t="str">
        <f>VLOOKUP(Table1[[#This Row],[Eelarvekonto]],Table5[[Konto]:[Konto nimetus]],2,FALSE)</f>
        <v>Elekter</v>
      </c>
      <c r="F1290" s="68" t="s">
        <v>139</v>
      </c>
      <c r="G1290" s="68" t="s">
        <v>24</v>
      </c>
      <c r="H1290" s="68"/>
      <c r="I1290" s="68"/>
      <c r="J1290" s="68" t="s">
        <v>264</v>
      </c>
      <c r="K1290" s="68" t="s">
        <v>263</v>
      </c>
      <c r="L1290" s="58" t="s">
        <v>266</v>
      </c>
      <c r="M1290" s="58" t="str">
        <f>LEFT(Table1[[#This Row],[Tegevusala kood]],2)</f>
        <v>09</v>
      </c>
      <c r="N1290" s="68" t="str">
        <f>VLOOKUP(Table1[[#This Row],[Tegevusala kood]],Table4[[Tegevusala kood]:[Tegevusala alanimetus]],2,FALSE)</f>
        <v>Roela kool</v>
      </c>
      <c r="O1290" s="68" t="s">
        <v>1</v>
      </c>
      <c r="P1290" s="68" t="s">
        <v>1</v>
      </c>
      <c r="Q1290" s="68" t="str">
        <f>VLOOKUP(Table1[[#This Row],[Eelarvekonto]],Table5[[Konto]:[Kontode alanimetus]],5,FALSE)</f>
        <v>Majandamiskulud</v>
      </c>
      <c r="R1290" s="42" t="str">
        <f>VLOOKUP(Table1[[#This Row],[Tegevusala kood]],Table4[[Tegevusala kood]:[Tegevusala alanimetus]],4,FALSE)</f>
        <v>Põhihariduse otsekulud</v>
      </c>
      <c r="S1290" s="53"/>
      <c r="T1290" s="53"/>
      <c r="U1290" s="53">
        <f>Table1[[#This Row],[Summa]]+Table1[[#This Row],[I Muudatus]]+Table1[[#This Row],[II Muudatus]]</f>
        <v>8220</v>
      </c>
    </row>
    <row r="1291" spans="1:21" ht="14.25" hidden="1" customHeight="1" x14ac:dyDescent="0.25">
      <c r="A1291" s="68" t="s">
        <v>150</v>
      </c>
      <c r="B1291" s="68">
        <v>1920</v>
      </c>
      <c r="C1291" s="52">
        <v>551102</v>
      </c>
      <c r="D1291" s="52" t="str">
        <f>LEFT(Table1[[#This Row],[Eelarvekonto]],2)</f>
        <v>55</v>
      </c>
      <c r="E1291" s="68" t="str">
        <f>VLOOKUP(Table1[[#This Row],[Eelarvekonto]],Table5[[Konto]:[Konto nimetus]],2,FALSE)</f>
        <v>Vesi ja kanalisatsioon</v>
      </c>
      <c r="F1291" s="68" t="s">
        <v>139</v>
      </c>
      <c r="G1291" s="68" t="s">
        <v>24</v>
      </c>
      <c r="H1291" s="68"/>
      <c r="I1291" s="68"/>
      <c r="J1291" s="68" t="s">
        <v>264</v>
      </c>
      <c r="K1291" s="68" t="s">
        <v>263</v>
      </c>
      <c r="L1291" s="58" t="s">
        <v>266</v>
      </c>
      <c r="M1291" s="58" t="str">
        <f>LEFT(Table1[[#This Row],[Tegevusala kood]],2)</f>
        <v>09</v>
      </c>
      <c r="N1291" s="68" t="str">
        <f>VLOOKUP(Table1[[#This Row],[Tegevusala kood]],Table4[[Tegevusala kood]:[Tegevusala alanimetus]],2,FALSE)</f>
        <v>Roela kool</v>
      </c>
      <c r="O1291" s="68" t="s">
        <v>1</v>
      </c>
      <c r="P1291" s="68" t="s">
        <v>1</v>
      </c>
      <c r="Q1291" s="68" t="str">
        <f>VLOOKUP(Table1[[#This Row],[Eelarvekonto]],Table5[[Konto]:[Kontode alanimetus]],5,FALSE)</f>
        <v>Majandamiskulud</v>
      </c>
      <c r="R1291" s="42" t="str">
        <f>VLOOKUP(Table1[[#This Row],[Tegevusala kood]],Table4[[Tegevusala kood]:[Tegevusala alanimetus]],4,FALSE)</f>
        <v>Põhihariduse otsekulud</v>
      </c>
      <c r="S1291" s="53"/>
      <c r="T1291" s="53"/>
      <c r="U1291" s="53">
        <f>Table1[[#This Row],[Summa]]+Table1[[#This Row],[I Muudatus]]+Table1[[#This Row],[II Muudatus]]</f>
        <v>1920</v>
      </c>
    </row>
    <row r="1292" spans="1:21" ht="14.25" hidden="1" customHeight="1" x14ac:dyDescent="0.25">
      <c r="A1292" s="68" t="s">
        <v>253</v>
      </c>
      <c r="B1292" s="68">
        <v>3300</v>
      </c>
      <c r="C1292" s="52">
        <v>551300</v>
      </c>
      <c r="D1292" s="52" t="str">
        <f>LEFT(Table1[[#This Row],[Eelarvekonto]],2)</f>
        <v>55</v>
      </c>
      <c r="E1292" s="68" t="str">
        <f>VLOOKUP(Table1[[#This Row],[Eelarvekonto]],Table5[[Konto]:[Konto nimetus]],2,FALSE)</f>
        <v>Kütus</v>
      </c>
      <c r="F1292" s="68" t="s">
        <v>139</v>
      </c>
      <c r="G1292" s="68" t="s">
        <v>24</v>
      </c>
      <c r="H1292" s="68"/>
      <c r="I1292" s="68"/>
      <c r="J1292" s="68" t="s">
        <v>264</v>
      </c>
      <c r="K1292" s="68" t="s">
        <v>263</v>
      </c>
      <c r="L1292" s="58" t="s">
        <v>266</v>
      </c>
      <c r="M1292" s="58" t="str">
        <f>LEFT(Table1[[#This Row],[Tegevusala kood]],2)</f>
        <v>09</v>
      </c>
      <c r="N1292" s="68" t="str">
        <f>VLOOKUP(Table1[[#This Row],[Tegevusala kood]],Table4[[Tegevusala kood]:[Tegevusala alanimetus]],2,FALSE)</f>
        <v>Roela kool</v>
      </c>
      <c r="O1292" s="68" t="s">
        <v>1</v>
      </c>
      <c r="P1292" s="68" t="s">
        <v>1</v>
      </c>
      <c r="Q1292" s="68" t="str">
        <f>VLOOKUP(Table1[[#This Row],[Eelarvekonto]],Table5[[Konto]:[Kontode alanimetus]],5,FALSE)</f>
        <v>Majandamiskulud</v>
      </c>
      <c r="R1292" s="42" t="str">
        <f>VLOOKUP(Table1[[#This Row],[Tegevusala kood]],Table4[[Tegevusala kood]:[Tegevusala alanimetus]],4,FALSE)</f>
        <v>Põhihariduse otsekulud</v>
      </c>
      <c r="S1292" s="53"/>
      <c r="T1292" s="67"/>
      <c r="U1292" s="53">
        <f>Table1[[#This Row],[Summa]]+Table1[[#This Row],[I Muudatus]]+Table1[[#This Row],[II Muudatus]]</f>
        <v>3300</v>
      </c>
    </row>
    <row r="1293" spans="1:21" ht="14.25" hidden="1" customHeight="1" x14ac:dyDescent="0.25">
      <c r="A1293" s="68" t="s">
        <v>1131</v>
      </c>
      <c r="B1293" s="68">
        <v>640</v>
      </c>
      <c r="C1293" s="52">
        <v>5513081</v>
      </c>
      <c r="D1293" s="52" t="str">
        <f>LEFT(Table1[[#This Row],[Eelarvekonto]],2)</f>
        <v>55</v>
      </c>
      <c r="E1293" s="68" t="str">
        <f>VLOOKUP(Table1[[#This Row],[Eelarvekonto]],Table5[[Konto]:[Konto nimetus]],2,FALSE)</f>
        <v>Isikliku sõiduauto kompensatsioon</v>
      </c>
      <c r="F1293" s="68" t="s">
        <v>139</v>
      </c>
      <c r="G1293" s="68" t="s">
        <v>24</v>
      </c>
      <c r="H1293" s="68"/>
      <c r="I1293" s="68"/>
      <c r="J1293" s="68" t="s">
        <v>264</v>
      </c>
      <c r="K1293" s="68" t="s">
        <v>263</v>
      </c>
      <c r="L1293" s="58" t="s">
        <v>266</v>
      </c>
      <c r="M1293" s="58" t="str">
        <f>LEFT(Table1[[#This Row],[Tegevusala kood]],2)</f>
        <v>09</v>
      </c>
      <c r="N1293" s="68" t="str">
        <f>VLOOKUP(Table1[[#This Row],[Tegevusala kood]],Table4[[Tegevusala kood]:[Tegevusala alanimetus]],2,FALSE)</f>
        <v>Roela kool</v>
      </c>
      <c r="O1293" s="68" t="s">
        <v>1</v>
      </c>
      <c r="P1293" s="68" t="s">
        <v>1</v>
      </c>
      <c r="Q1293" s="68" t="str">
        <f>VLOOKUP(Table1[[#This Row],[Eelarvekonto]],Table5[[Konto]:[Kontode alanimetus]],5,FALSE)</f>
        <v>Majandamiskulud</v>
      </c>
      <c r="R1293" s="42" t="str">
        <f>VLOOKUP(Table1[[#This Row],[Tegevusala kood]],Table4[[Tegevusala kood]:[Tegevusala alanimetus]],4,FALSE)</f>
        <v>Põhihariduse otsekulud</v>
      </c>
      <c r="S1293" s="53"/>
      <c r="T1293" s="53"/>
      <c r="U1293" s="53">
        <f>Table1[[#This Row],[Summa]]+Table1[[#This Row],[I Muudatus]]+Table1[[#This Row],[II Muudatus]]</f>
        <v>640</v>
      </c>
    </row>
    <row r="1294" spans="1:21" ht="14.25" hidden="1" customHeight="1" x14ac:dyDescent="0.25">
      <c r="A1294" s="68" t="s">
        <v>541</v>
      </c>
      <c r="B1294" s="68">
        <v>385</v>
      </c>
      <c r="C1294" s="52">
        <v>5513081</v>
      </c>
      <c r="D1294" s="52" t="str">
        <f>LEFT(Table1[[#This Row],[Eelarvekonto]],2)</f>
        <v>55</v>
      </c>
      <c r="E1294" s="68" t="str">
        <f>VLOOKUP(Table1[[#This Row],[Eelarvekonto]],Table5[[Konto]:[Konto nimetus]],2,FALSE)</f>
        <v>Isikliku sõiduauto kompensatsioon</v>
      </c>
      <c r="F1294" s="68" t="s">
        <v>139</v>
      </c>
      <c r="G1294" s="68" t="s">
        <v>24</v>
      </c>
      <c r="H1294" s="68"/>
      <c r="I1294" s="68"/>
      <c r="J1294" s="68" t="s">
        <v>264</v>
      </c>
      <c r="K1294" s="68" t="s">
        <v>263</v>
      </c>
      <c r="L1294" s="58" t="s">
        <v>266</v>
      </c>
      <c r="M1294" s="58" t="str">
        <f>LEFT(Table1[[#This Row],[Tegevusala kood]],2)</f>
        <v>09</v>
      </c>
      <c r="N1294" s="68" t="str">
        <f>VLOOKUP(Table1[[#This Row],[Tegevusala kood]],Table4[[Tegevusala kood]:[Tegevusala alanimetus]],2,FALSE)</f>
        <v>Roela kool</v>
      </c>
      <c r="O1294" s="68" t="s">
        <v>1</v>
      </c>
      <c r="P1294" s="68" t="s">
        <v>1</v>
      </c>
      <c r="Q1294" s="68" t="str">
        <f>VLOOKUP(Table1[[#This Row],[Eelarvekonto]],Table5[[Konto]:[Kontode alanimetus]],5,FALSE)</f>
        <v>Majandamiskulud</v>
      </c>
      <c r="R1294" s="42" t="str">
        <f>VLOOKUP(Table1[[#This Row],[Tegevusala kood]],Table4[[Tegevusala kood]:[Tegevusala alanimetus]],4,FALSE)</f>
        <v>Põhihariduse otsekulud</v>
      </c>
      <c r="S1294" s="53"/>
      <c r="T1294" s="53"/>
      <c r="U1294" s="53">
        <f>Table1[[#This Row],[Summa]]+Table1[[#This Row],[I Muudatus]]+Table1[[#This Row],[II Muudatus]]</f>
        <v>385</v>
      </c>
    </row>
    <row r="1295" spans="1:21" ht="14.25" hidden="1" customHeight="1" x14ac:dyDescent="0.25">
      <c r="A1295" s="68" t="s">
        <v>540</v>
      </c>
      <c r="B1295" s="68">
        <v>640</v>
      </c>
      <c r="C1295" s="52">
        <v>5513081</v>
      </c>
      <c r="D1295" s="52" t="str">
        <f>LEFT(Table1[[#This Row],[Eelarvekonto]],2)</f>
        <v>55</v>
      </c>
      <c r="E1295" s="68" t="str">
        <f>VLOOKUP(Table1[[#This Row],[Eelarvekonto]],Table5[[Konto]:[Konto nimetus]],2,FALSE)</f>
        <v>Isikliku sõiduauto kompensatsioon</v>
      </c>
      <c r="F1295" s="68" t="s">
        <v>139</v>
      </c>
      <c r="G1295" s="68" t="s">
        <v>24</v>
      </c>
      <c r="H1295" s="68"/>
      <c r="I1295" s="68"/>
      <c r="J1295" s="68" t="s">
        <v>264</v>
      </c>
      <c r="K1295" s="68" t="s">
        <v>263</v>
      </c>
      <c r="L1295" s="58" t="s">
        <v>266</v>
      </c>
      <c r="M1295" s="58" t="str">
        <f>LEFT(Table1[[#This Row],[Tegevusala kood]],2)</f>
        <v>09</v>
      </c>
      <c r="N1295" s="68" t="str">
        <f>VLOOKUP(Table1[[#This Row],[Tegevusala kood]],Table4[[Tegevusala kood]:[Tegevusala alanimetus]],2,FALSE)</f>
        <v>Roela kool</v>
      </c>
      <c r="O1295" s="68" t="s">
        <v>1</v>
      </c>
      <c r="P1295" s="68" t="s">
        <v>1</v>
      </c>
      <c r="Q1295" s="68" t="str">
        <f>VLOOKUP(Table1[[#This Row],[Eelarvekonto]],Table5[[Konto]:[Kontode alanimetus]],5,FALSE)</f>
        <v>Majandamiskulud</v>
      </c>
      <c r="R1295" s="42" t="str">
        <f>VLOOKUP(Table1[[#This Row],[Tegevusala kood]],Table4[[Tegevusala kood]:[Tegevusala alanimetus]],4,FALSE)</f>
        <v>Põhihariduse otsekulud</v>
      </c>
      <c r="S1295" s="53"/>
      <c r="T1295" s="53"/>
      <c r="U1295" s="53">
        <f>Table1[[#This Row],[Summa]]+Table1[[#This Row],[I Muudatus]]+Table1[[#This Row],[II Muudatus]]</f>
        <v>640</v>
      </c>
    </row>
    <row r="1296" spans="1:21" ht="14.25" hidden="1" customHeight="1" x14ac:dyDescent="0.25">
      <c r="A1296" s="68" t="s">
        <v>539</v>
      </c>
      <c r="B1296" s="68">
        <v>640</v>
      </c>
      <c r="C1296" s="52">
        <v>5513081</v>
      </c>
      <c r="D1296" s="52" t="str">
        <f>LEFT(Table1[[#This Row],[Eelarvekonto]],2)</f>
        <v>55</v>
      </c>
      <c r="E1296" s="68" t="str">
        <f>VLOOKUP(Table1[[#This Row],[Eelarvekonto]],Table5[[Konto]:[Konto nimetus]],2,FALSE)</f>
        <v>Isikliku sõiduauto kompensatsioon</v>
      </c>
      <c r="F1296" s="68" t="s">
        <v>139</v>
      </c>
      <c r="G1296" s="68" t="s">
        <v>24</v>
      </c>
      <c r="H1296" s="68"/>
      <c r="I1296" s="68"/>
      <c r="J1296" s="68" t="s">
        <v>264</v>
      </c>
      <c r="K1296" s="68" t="s">
        <v>263</v>
      </c>
      <c r="L1296" s="58" t="s">
        <v>266</v>
      </c>
      <c r="M1296" s="58" t="str">
        <f>LEFT(Table1[[#This Row],[Tegevusala kood]],2)</f>
        <v>09</v>
      </c>
      <c r="N1296" s="68" t="str">
        <f>VLOOKUP(Table1[[#This Row],[Tegevusala kood]],Table4[[Tegevusala kood]:[Tegevusala alanimetus]],2,FALSE)</f>
        <v>Roela kool</v>
      </c>
      <c r="O1296" s="68" t="s">
        <v>1</v>
      </c>
      <c r="P1296" s="68" t="s">
        <v>1</v>
      </c>
      <c r="Q1296" s="68" t="str">
        <f>VLOOKUP(Table1[[#This Row],[Eelarvekonto]],Table5[[Konto]:[Kontode alanimetus]],5,FALSE)</f>
        <v>Majandamiskulud</v>
      </c>
      <c r="R1296" s="42" t="str">
        <f>VLOOKUP(Table1[[#This Row],[Tegevusala kood]],Table4[[Tegevusala kood]:[Tegevusala alanimetus]],4,FALSE)</f>
        <v>Põhihariduse otsekulud</v>
      </c>
      <c r="S1296" s="53"/>
      <c r="T1296" s="67"/>
      <c r="U1296" s="53">
        <f>Table1[[#This Row],[Summa]]+Table1[[#This Row],[I Muudatus]]+Table1[[#This Row],[II Muudatus]]</f>
        <v>640</v>
      </c>
    </row>
    <row r="1297" spans="1:21" ht="14.25" hidden="1" customHeight="1" x14ac:dyDescent="0.25">
      <c r="A1297" s="68" t="s">
        <v>538</v>
      </c>
      <c r="B1297" s="68">
        <v>704</v>
      </c>
      <c r="C1297" s="52">
        <v>5513081</v>
      </c>
      <c r="D1297" s="52" t="str">
        <f>LEFT(Table1[[#This Row],[Eelarvekonto]],2)</f>
        <v>55</v>
      </c>
      <c r="E1297" s="68" t="str">
        <f>VLOOKUP(Table1[[#This Row],[Eelarvekonto]],Table5[[Konto]:[Konto nimetus]],2,FALSE)</f>
        <v>Isikliku sõiduauto kompensatsioon</v>
      </c>
      <c r="F1297" s="68" t="s">
        <v>139</v>
      </c>
      <c r="G1297" s="68" t="s">
        <v>24</v>
      </c>
      <c r="H1297" s="68"/>
      <c r="I1297" s="68"/>
      <c r="J1297" s="68" t="s">
        <v>264</v>
      </c>
      <c r="K1297" s="68" t="s">
        <v>263</v>
      </c>
      <c r="L1297" s="58" t="s">
        <v>266</v>
      </c>
      <c r="M1297" s="58" t="str">
        <f>LEFT(Table1[[#This Row],[Tegevusala kood]],2)</f>
        <v>09</v>
      </c>
      <c r="N1297" s="68" t="str">
        <f>VLOOKUP(Table1[[#This Row],[Tegevusala kood]],Table4[[Tegevusala kood]:[Tegevusala alanimetus]],2,FALSE)</f>
        <v>Roela kool</v>
      </c>
      <c r="O1297" s="68" t="s">
        <v>1</v>
      </c>
      <c r="P1297" s="68" t="s">
        <v>1</v>
      </c>
      <c r="Q1297" s="68" t="str">
        <f>VLOOKUP(Table1[[#This Row],[Eelarvekonto]],Table5[[Konto]:[Kontode alanimetus]],5,FALSE)</f>
        <v>Majandamiskulud</v>
      </c>
      <c r="R1297" s="42" t="str">
        <f>VLOOKUP(Table1[[#This Row],[Tegevusala kood]],Table4[[Tegevusala kood]:[Tegevusala alanimetus]],4,FALSE)</f>
        <v>Põhihariduse otsekulud</v>
      </c>
      <c r="S1297" s="53"/>
      <c r="T1297" s="53"/>
      <c r="U1297" s="53">
        <f>Table1[[#This Row],[Summa]]+Table1[[#This Row],[I Muudatus]]+Table1[[#This Row],[II Muudatus]]</f>
        <v>704</v>
      </c>
    </row>
    <row r="1298" spans="1:21" ht="14.25" hidden="1" customHeight="1" x14ac:dyDescent="0.25">
      <c r="A1298" s="68" t="s">
        <v>537</v>
      </c>
      <c r="B1298" s="68">
        <v>704</v>
      </c>
      <c r="C1298" s="52">
        <v>5513081</v>
      </c>
      <c r="D1298" s="52" t="str">
        <f>LEFT(Table1[[#This Row],[Eelarvekonto]],2)</f>
        <v>55</v>
      </c>
      <c r="E1298" s="68" t="str">
        <f>VLOOKUP(Table1[[#This Row],[Eelarvekonto]],Table5[[Konto]:[Konto nimetus]],2,FALSE)</f>
        <v>Isikliku sõiduauto kompensatsioon</v>
      </c>
      <c r="F1298" s="68" t="s">
        <v>139</v>
      </c>
      <c r="G1298" s="68" t="s">
        <v>24</v>
      </c>
      <c r="H1298" s="68"/>
      <c r="I1298" s="68"/>
      <c r="J1298" s="68" t="s">
        <v>264</v>
      </c>
      <c r="K1298" s="68" t="s">
        <v>263</v>
      </c>
      <c r="L1298" s="58" t="s">
        <v>266</v>
      </c>
      <c r="M1298" s="58" t="str">
        <f>LEFT(Table1[[#This Row],[Tegevusala kood]],2)</f>
        <v>09</v>
      </c>
      <c r="N1298" s="68" t="str">
        <f>VLOOKUP(Table1[[#This Row],[Tegevusala kood]],Table4[[Tegevusala kood]:[Tegevusala alanimetus]],2,FALSE)</f>
        <v>Roela kool</v>
      </c>
      <c r="O1298" s="68" t="s">
        <v>1</v>
      </c>
      <c r="P1298" s="68" t="s">
        <v>1</v>
      </c>
      <c r="Q1298" s="68" t="str">
        <f>VLOOKUP(Table1[[#This Row],[Eelarvekonto]],Table5[[Konto]:[Kontode alanimetus]],5,FALSE)</f>
        <v>Majandamiskulud</v>
      </c>
      <c r="R1298" s="42" t="str">
        <f>VLOOKUP(Table1[[#This Row],[Tegevusala kood]],Table4[[Tegevusala kood]:[Tegevusala alanimetus]],4,FALSE)</f>
        <v>Põhihariduse otsekulud</v>
      </c>
      <c r="S1298" s="53"/>
      <c r="T1298" s="53"/>
      <c r="U1298" s="53">
        <f>Table1[[#This Row],[Summa]]+Table1[[#This Row],[I Muudatus]]+Table1[[#This Row],[II Muudatus]]</f>
        <v>704</v>
      </c>
    </row>
    <row r="1299" spans="1:21" ht="14.25" hidden="1" customHeight="1" x14ac:dyDescent="0.25">
      <c r="A1299" s="42" t="s">
        <v>1343</v>
      </c>
      <c r="B1299" s="42">
        <v>320</v>
      </c>
      <c r="C1299" s="53">
        <v>5513081</v>
      </c>
      <c r="D1299" s="53" t="str">
        <f>LEFT(Table1[[#This Row],[Eelarvekonto]],2)</f>
        <v>55</v>
      </c>
      <c r="E1299" s="42" t="str">
        <f>VLOOKUP(Table1[[#This Row],[Eelarvekonto]],Table5[[Konto]:[Konto nimetus]],2,FALSE)</f>
        <v>Isikliku sõiduauto kompensatsioon</v>
      </c>
      <c r="F1299" s="42" t="s">
        <v>139</v>
      </c>
      <c r="G1299" s="42" t="s">
        <v>24</v>
      </c>
      <c r="H1299" s="42"/>
      <c r="I1299" s="42"/>
      <c r="J1299" s="42" t="s">
        <v>264</v>
      </c>
      <c r="K1299" s="42" t="s">
        <v>263</v>
      </c>
      <c r="L1299" s="81" t="s">
        <v>266</v>
      </c>
      <c r="M1299" s="82" t="str">
        <f>LEFT(Table1[[#This Row],[Tegevusala kood]],2)</f>
        <v>09</v>
      </c>
      <c r="N1299" s="53" t="str">
        <f>VLOOKUP(Table1[[#This Row],[Tegevusala kood]],Table4[[Tegevusala kood]:[Tegevusala alanimetus]],2,FALSE)</f>
        <v>Roela kool</v>
      </c>
      <c r="O1299" s="42"/>
      <c r="P1299" s="42"/>
      <c r="Q1299" s="53" t="str">
        <f>VLOOKUP(Table1[[#This Row],[Eelarvekonto]],Table5[[Konto]:[Kontode alanimetus]],5,FALSE)</f>
        <v>Majandamiskulud</v>
      </c>
      <c r="R1299" s="53" t="str">
        <f>VLOOKUP(Table1[[#This Row],[Tegevusala kood]],Table4[[Tegevusala kood]:[Tegevusala alanimetus]],4,FALSE)</f>
        <v>Põhihariduse otsekulud</v>
      </c>
      <c r="S1299" s="53"/>
      <c r="T1299" s="53"/>
      <c r="U1299" s="53">
        <f>Table1[[#This Row],[Summa]]+Table1[[#This Row],[I Muudatus]]+Table1[[#This Row],[II Muudatus]]</f>
        <v>320</v>
      </c>
    </row>
    <row r="1300" spans="1:21" ht="14.25" hidden="1" customHeight="1" x14ac:dyDescent="0.25">
      <c r="A1300" s="42" t="s">
        <v>1344</v>
      </c>
      <c r="B1300" s="42">
        <v>640</v>
      </c>
      <c r="C1300" s="53">
        <v>5513081</v>
      </c>
      <c r="D1300" s="53" t="str">
        <f>LEFT(Table1[[#This Row],[Eelarvekonto]],2)</f>
        <v>55</v>
      </c>
      <c r="E1300" s="42" t="str">
        <f>VLOOKUP(Table1[[#This Row],[Eelarvekonto]],Table5[[Konto]:[Konto nimetus]],2,FALSE)</f>
        <v>Isikliku sõiduauto kompensatsioon</v>
      </c>
      <c r="F1300" s="42" t="s">
        <v>139</v>
      </c>
      <c r="G1300" s="42" t="s">
        <v>24</v>
      </c>
      <c r="H1300" s="42"/>
      <c r="I1300" s="42"/>
      <c r="J1300" s="42" t="s">
        <v>264</v>
      </c>
      <c r="K1300" s="42" t="s">
        <v>263</v>
      </c>
      <c r="L1300" s="81" t="s">
        <v>266</v>
      </c>
      <c r="M1300" s="82" t="str">
        <f>LEFT(Table1[[#This Row],[Tegevusala kood]],2)</f>
        <v>09</v>
      </c>
      <c r="N1300" s="53" t="str">
        <f>VLOOKUP(Table1[[#This Row],[Tegevusala kood]],Table4[[Tegevusala kood]:[Tegevusala alanimetus]],2,FALSE)</f>
        <v>Roela kool</v>
      </c>
      <c r="O1300" s="42"/>
      <c r="P1300" s="42"/>
      <c r="Q1300" s="53" t="str">
        <f>VLOOKUP(Table1[[#This Row],[Eelarvekonto]],Table5[[Konto]:[Kontode alanimetus]],5,FALSE)</f>
        <v>Majandamiskulud</v>
      </c>
      <c r="R1300" s="53" t="str">
        <f>VLOOKUP(Table1[[#This Row],[Tegevusala kood]],Table4[[Tegevusala kood]:[Tegevusala alanimetus]],4,FALSE)</f>
        <v>Põhihariduse otsekulud</v>
      </c>
      <c r="S1300" s="53"/>
      <c r="T1300" s="53"/>
      <c r="U1300" s="53">
        <f>Table1[[#This Row],[Summa]]+Table1[[#This Row],[I Muudatus]]+Table1[[#This Row],[II Muudatus]]</f>
        <v>640</v>
      </c>
    </row>
    <row r="1301" spans="1:21" ht="14.25" hidden="1" customHeight="1" x14ac:dyDescent="0.25">
      <c r="A1301" s="42" t="s">
        <v>1367</v>
      </c>
      <c r="B1301" s="42">
        <v>300</v>
      </c>
      <c r="C1301" s="53">
        <v>5500</v>
      </c>
      <c r="D1301" s="53" t="str">
        <f>LEFT(Table1[[#This Row],[Eelarvekonto]],2)</f>
        <v>55</v>
      </c>
      <c r="E1301" s="42" t="str">
        <f>VLOOKUP(Table1[[#This Row],[Eelarvekonto]],Table5[[Konto]:[Konto nimetus]],2,FALSE)</f>
        <v>Administreerimiskulud</v>
      </c>
      <c r="F1301" s="42" t="s">
        <v>139</v>
      </c>
      <c r="G1301" s="42" t="s">
        <v>24</v>
      </c>
      <c r="H1301" s="42"/>
      <c r="I1301" s="42"/>
      <c r="J1301" s="42" t="s">
        <v>311</v>
      </c>
      <c r="K1301" s="42" t="s">
        <v>81</v>
      </c>
      <c r="L1301" s="81" t="s">
        <v>310</v>
      </c>
      <c r="M1301" s="82" t="str">
        <f>LEFT(Table1[[#This Row],[Tegevusala kood]],2)</f>
        <v>06</v>
      </c>
      <c r="N1301" s="53" t="str">
        <f>VLOOKUP(Table1[[#This Row],[Tegevusala kood]],Table4[[Tegevusala kood]:[Tegevusala alanimetus]],2,FALSE)</f>
        <v>Ulvi, Vinni-Pajusti teeninduspiirkond</v>
      </c>
      <c r="O1301" s="42"/>
      <c r="P1301" s="42"/>
      <c r="Q1301" s="53" t="str">
        <f>VLOOKUP(Table1[[#This Row],[Eelarvekonto]],Table5[[Konto]:[Kontode alanimetus]],5,FALSE)</f>
        <v>Majandamiskulud</v>
      </c>
      <c r="R1301" s="53" t="str">
        <f>VLOOKUP(Table1[[#This Row],[Tegevusala kood]],Table4[[Tegevusala kood]:[Tegevusala alanimetus]],4,FALSE)</f>
        <v>Muu elamu- ja kommunaalmajanduse tegevus</v>
      </c>
      <c r="S1301" s="53"/>
      <c r="T1301" s="53"/>
      <c r="U1301" s="53">
        <f>Table1[[#This Row],[Summa]]+Table1[[#This Row],[I Muudatus]]+Table1[[#This Row],[II Muudatus]]</f>
        <v>300</v>
      </c>
    </row>
    <row r="1302" spans="1:21" ht="14.25" hidden="1" customHeight="1" x14ac:dyDescent="0.25">
      <c r="A1302" s="42" t="s">
        <v>316</v>
      </c>
      <c r="B1302" s="42">
        <v>12000</v>
      </c>
      <c r="C1302" s="53">
        <v>5511</v>
      </c>
      <c r="D1302" s="53" t="str">
        <f>LEFT(Table1[[#This Row],[Eelarvekonto]],2)</f>
        <v>55</v>
      </c>
      <c r="E1302" s="42" t="str">
        <f>VLOOKUP(Table1[[#This Row],[Eelarvekonto]],Table5[[Konto]:[Konto nimetus]],2,FALSE)</f>
        <v>Kinnistute, hoonete ja ruumide majandamiskulud</v>
      </c>
      <c r="F1302" s="42" t="s">
        <v>139</v>
      </c>
      <c r="G1302" s="42" t="s">
        <v>24</v>
      </c>
      <c r="H1302" s="42"/>
      <c r="I1302" s="42"/>
      <c r="J1302" s="42" t="s">
        <v>311</v>
      </c>
      <c r="K1302" s="42" t="s">
        <v>81</v>
      </c>
      <c r="L1302" s="81" t="s">
        <v>310</v>
      </c>
      <c r="M1302" s="82" t="str">
        <f>LEFT(Table1[[#This Row],[Tegevusala kood]],2)</f>
        <v>06</v>
      </c>
      <c r="N1302" s="53" t="str">
        <f>VLOOKUP(Table1[[#This Row],[Tegevusala kood]],Table4[[Tegevusala kood]:[Tegevusala alanimetus]],2,FALSE)</f>
        <v>Ulvi, Vinni-Pajusti teeninduspiirkond</v>
      </c>
      <c r="O1302" s="42"/>
      <c r="P1302" s="42"/>
      <c r="Q1302" s="53" t="str">
        <f>VLOOKUP(Table1[[#This Row],[Eelarvekonto]],Table5[[Konto]:[Kontode alanimetus]],5,FALSE)</f>
        <v>Majandamiskulud</v>
      </c>
      <c r="R1302" s="53" t="str">
        <f>VLOOKUP(Table1[[#This Row],[Tegevusala kood]],Table4[[Tegevusala kood]:[Tegevusala alanimetus]],4,FALSE)</f>
        <v>Muu elamu- ja kommunaalmajanduse tegevus</v>
      </c>
      <c r="S1302" s="53"/>
      <c r="T1302" s="53"/>
      <c r="U1302" s="53">
        <f>Table1[[#This Row],[Summa]]+Table1[[#This Row],[I Muudatus]]+Table1[[#This Row],[II Muudatus]]</f>
        <v>12000</v>
      </c>
    </row>
    <row r="1303" spans="1:21" ht="14.25" hidden="1" customHeight="1" x14ac:dyDescent="0.25">
      <c r="A1303" s="42" t="s">
        <v>1368</v>
      </c>
      <c r="B1303" s="42">
        <v>360</v>
      </c>
      <c r="C1303" s="53">
        <v>5511</v>
      </c>
      <c r="D1303" s="53" t="str">
        <f>LEFT(Table1[[#This Row],[Eelarvekonto]],2)</f>
        <v>55</v>
      </c>
      <c r="E1303" s="42" t="str">
        <f>VLOOKUP(Table1[[#This Row],[Eelarvekonto]],Table5[[Konto]:[Konto nimetus]],2,FALSE)</f>
        <v>Kinnistute, hoonete ja ruumide majandamiskulud</v>
      </c>
      <c r="F1303" s="42" t="s">
        <v>139</v>
      </c>
      <c r="G1303" s="42" t="s">
        <v>24</v>
      </c>
      <c r="H1303" s="42"/>
      <c r="I1303" s="42"/>
      <c r="J1303" s="42" t="s">
        <v>311</v>
      </c>
      <c r="K1303" s="42" t="s">
        <v>81</v>
      </c>
      <c r="L1303" s="81" t="s">
        <v>310</v>
      </c>
      <c r="M1303" s="82" t="str">
        <f>LEFT(Table1[[#This Row],[Tegevusala kood]],2)</f>
        <v>06</v>
      </c>
      <c r="N1303" s="53" t="str">
        <f>VLOOKUP(Table1[[#This Row],[Tegevusala kood]],Table4[[Tegevusala kood]:[Tegevusala alanimetus]],2,FALSE)</f>
        <v>Ulvi, Vinni-Pajusti teeninduspiirkond</v>
      </c>
      <c r="O1303" s="42"/>
      <c r="P1303" s="42"/>
      <c r="Q1303" s="53" t="str">
        <f>VLOOKUP(Table1[[#This Row],[Eelarvekonto]],Table5[[Konto]:[Kontode alanimetus]],5,FALSE)</f>
        <v>Majandamiskulud</v>
      </c>
      <c r="R1303" s="53" t="str">
        <f>VLOOKUP(Table1[[#This Row],[Tegevusala kood]],Table4[[Tegevusala kood]:[Tegevusala alanimetus]],4,FALSE)</f>
        <v>Muu elamu- ja kommunaalmajanduse tegevus</v>
      </c>
      <c r="S1303" s="53"/>
      <c r="T1303" s="53"/>
      <c r="U1303" s="53">
        <f>Table1[[#This Row],[Summa]]+Table1[[#This Row],[I Muudatus]]+Table1[[#This Row],[II Muudatus]]</f>
        <v>360</v>
      </c>
    </row>
    <row r="1304" spans="1:21" ht="14.25" hidden="1" customHeight="1" x14ac:dyDescent="0.25">
      <c r="A1304" s="42" t="s">
        <v>315</v>
      </c>
      <c r="B1304" s="42">
        <v>1500</v>
      </c>
      <c r="C1304" s="53">
        <v>5511</v>
      </c>
      <c r="D1304" s="53" t="str">
        <f>LEFT(Table1[[#This Row],[Eelarvekonto]],2)</f>
        <v>55</v>
      </c>
      <c r="E1304" s="42" t="str">
        <f>VLOOKUP(Table1[[#This Row],[Eelarvekonto]],Table5[[Konto]:[Konto nimetus]],2,FALSE)</f>
        <v>Kinnistute, hoonete ja ruumide majandamiskulud</v>
      </c>
      <c r="F1304" s="42" t="s">
        <v>139</v>
      </c>
      <c r="G1304" s="42" t="s">
        <v>24</v>
      </c>
      <c r="H1304" s="42"/>
      <c r="I1304" s="42"/>
      <c r="J1304" s="42" t="s">
        <v>311</v>
      </c>
      <c r="K1304" s="42" t="s">
        <v>81</v>
      </c>
      <c r="L1304" s="81" t="s">
        <v>310</v>
      </c>
      <c r="M1304" s="82" t="str">
        <f>LEFT(Table1[[#This Row],[Tegevusala kood]],2)</f>
        <v>06</v>
      </c>
      <c r="N1304" s="53" t="str">
        <f>VLOOKUP(Table1[[#This Row],[Tegevusala kood]],Table4[[Tegevusala kood]:[Tegevusala alanimetus]],2,FALSE)</f>
        <v>Ulvi, Vinni-Pajusti teeninduspiirkond</v>
      </c>
      <c r="O1304" s="42"/>
      <c r="P1304" s="42"/>
      <c r="Q1304" s="53" t="str">
        <f>VLOOKUP(Table1[[#This Row],[Eelarvekonto]],Table5[[Konto]:[Kontode alanimetus]],5,FALSE)</f>
        <v>Majandamiskulud</v>
      </c>
      <c r="R1304" s="53" t="str">
        <f>VLOOKUP(Table1[[#This Row],[Tegevusala kood]],Table4[[Tegevusala kood]:[Tegevusala alanimetus]],4,FALSE)</f>
        <v>Muu elamu- ja kommunaalmajanduse tegevus</v>
      </c>
      <c r="S1304" s="53"/>
      <c r="T1304" s="53"/>
      <c r="U1304" s="53">
        <f>Table1[[#This Row],[Summa]]+Table1[[#This Row],[I Muudatus]]+Table1[[#This Row],[II Muudatus]]</f>
        <v>1500</v>
      </c>
    </row>
    <row r="1305" spans="1:21" ht="14.25" hidden="1" customHeight="1" x14ac:dyDescent="0.25">
      <c r="A1305" s="42" t="s">
        <v>313</v>
      </c>
      <c r="B1305" s="42">
        <v>810</v>
      </c>
      <c r="C1305" s="53">
        <v>5511</v>
      </c>
      <c r="D1305" s="53" t="str">
        <f>LEFT(Table1[[#This Row],[Eelarvekonto]],2)</f>
        <v>55</v>
      </c>
      <c r="E1305" s="42" t="str">
        <f>VLOOKUP(Table1[[#This Row],[Eelarvekonto]],Table5[[Konto]:[Konto nimetus]],2,FALSE)</f>
        <v>Kinnistute, hoonete ja ruumide majandamiskulud</v>
      </c>
      <c r="F1305" s="42" t="s">
        <v>139</v>
      </c>
      <c r="G1305" s="42" t="s">
        <v>24</v>
      </c>
      <c r="H1305" s="42"/>
      <c r="I1305" s="42"/>
      <c r="J1305" s="42" t="s">
        <v>311</v>
      </c>
      <c r="K1305" s="42" t="s">
        <v>81</v>
      </c>
      <c r="L1305" s="81" t="s">
        <v>310</v>
      </c>
      <c r="M1305" s="82" t="str">
        <f>LEFT(Table1[[#This Row],[Tegevusala kood]],2)</f>
        <v>06</v>
      </c>
      <c r="N1305" s="53" t="str">
        <f>VLOOKUP(Table1[[#This Row],[Tegevusala kood]],Table4[[Tegevusala kood]:[Tegevusala alanimetus]],2,FALSE)</f>
        <v>Ulvi, Vinni-Pajusti teeninduspiirkond</v>
      </c>
      <c r="O1305" s="42"/>
      <c r="P1305" s="42"/>
      <c r="Q1305" s="53" t="str">
        <f>VLOOKUP(Table1[[#This Row],[Eelarvekonto]],Table5[[Konto]:[Kontode alanimetus]],5,FALSE)</f>
        <v>Majandamiskulud</v>
      </c>
      <c r="R1305" s="53" t="str">
        <f>VLOOKUP(Table1[[#This Row],[Tegevusala kood]],Table4[[Tegevusala kood]:[Tegevusala alanimetus]],4,FALSE)</f>
        <v>Muu elamu- ja kommunaalmajanduse tegevus</v>
      </c>
      <c r="S1305" s="53"/>
      <c r="T1305" s="53"/>
      <c r="U1305" s="53">
        <f>Table1[[#This Row],[Summa]]+Table1[[#This Row],[I Muudatus]]+Table1[[#This Row],[II Muudatus]]</f>
        <v>810</v>
      </c>
    </row>
    <row r="1306" spans="1:21" ht="14.25" hidden="1" customHeight="1" x14ac:dyDescent="0.25">
      <c r="A1306" s="42" t="s">
        <v>1369</v>
      </c>
      <c r="B1306" s="42">
        <v>1000</v>
      </c>
      <c r="C1306" s="53">
        <v>5515</v>
      </c>
      <c r="D1306" s="53" t="str">
        <f>LEFT(Table1[[#This Row],[Eelarvekonto]],2)</f>
        <v>55</v>
      </c>
      <c r="E1306" s="42" t="str">
        <f>VLOOKUP(Table1[[#This Row],[Eelarvekonto]],Table5[[Konto]:[Konto nimetus]],2,FALSE)</f>
        <v>Inventari majandamiskulud</v>
      </c>
      <c r="F1306" s="42" t="s">
        <v>139</v>
      </c>
      <c r="G1306" s="42" t="s">
        <v>24</v>
      </c>
      <c r="H1306" s="42"/>
      <c r="I1306" s="42"/>
      <c r="J1306" s="42" t="s">
        <v>311</v>
      </c>
      <c r="K1306" s="42" t="s">
        <v>81</v>
      </c>
      <c r="L1306" s="81" t="s">
        <v>310</v>
      </c>
      <c r="M1306" s="82" t="str">
        <f>LEFT(Table1[[#This Row],[Tegevusala kood]],2)</f>
        <v>06</v>
      </c>
      <c r="N1306" s="53" t="str">
        <f>VLOOKUP(Table1[[#This Row],[Tegevusala kood]],Table4[[Tegevusala kood]:[Tegevusala alanimetus]],2,FALSE)</f>
        <v>Ulvi, Vinni-Pajusti teeninduspiirkond</v>
      </c>
      <c r="O1306" s="42"/>
      <c r="P1306" s="42"/>
      <c r="Q1306" s="53" t="str">
        <f>VLOOKUP(Table1[[#This Row],[Eelarvekonto]],Table5[[Konto]:[Kontode alanimetus]],5,FALSE)</f>
        <v>Majandamiskulud</v>
      </c>
      <c r="R1306" s="53" t="str">
        <f>VLOOKUP(Table1[[#This Row],[Tegevusala kood]],Table4[[Tegevusala kood]:[Tegevusala alanimetus]],4,FALSE)</f>
        <v>Muu elamu- ja kommunaalmajanduse tegevus</v>
      </c>
      <c r="S1306" s="53"/>
      <c r="T1306" s="53"/>
      <c r="U1306" s="53">
        <f>Table1[[#This Row],[Summa]]+Table1[[#This Row],[I Muudatus]]+Table1[[#This Row],[II Muudatus]]</f>
        <v>1000</v>
      </c>
    </row>
    <row r="1307" spans="1:21" ht="14.25" hidden="1" customHeight="1" x14ac:dyDescent="0.25">
      <c r="A1307" s="42" t="s">
        <v>153</v>
      </c>
      <c r="B1307" s="42">
        <v>1000</v>
      </c>
      <c r="C1307" s="53">
        <v>5532</v>
      </c>
      <c r="D1307" s="53" t="str">
        <f>LEFT(Table1[[#This Row],[Eelarvekonto]],2)</f>
        <v>55</v>
      </c>
      <c r="E1307" s="42" t="str">
        <f>VLOOKUP(Table1[[#This Row],[Eelarvekonto]],Table5[[Konto]:[Konto nimetus]],2,FALSE)</f>
        <v>Eri- ja vormiriietus (va kaitseotstarbelised kulud)</v>
      </c>
      <c r="F1307" s="42" t="s">
        <v>139</v>
      </c>
      <c r="G1307" s="42" t="s">
        <v>24</v>
      </c>
      <c r="H1307" s="42"/>
      <c r="I1307" s="42"/>
      <c r="J1307" s="42" t="s">
        <v>311</v>
      </c>
      <c r="K1307" s="42" t="s">
        <v>81</v>
      </c>
      <c r="L1307" s="81" t="s">
        <v>310</v>
      </c>
      <c r="M1307" s="82" t="str">
        <f>LEFT(Table1[[#This Row],[Tegevusala kood]],2)</f>
        <v>06</v>
      </c>
      <c r="N1307" s="53" t="str">
        <f>VLOOKUP(Table1[[#This Row],[Tegevusala kood]],Table4[[Tegevusala kood]:[Tegevusala alanimetus]],2,FALSE)</f>
        <v>Ulvi, Vinni-Pajusti teeninduspiirkond</v>
      </c>
      <c r="O1307" s="42"/>
      <c r="P1307" s="42"/>
      <c r="Q1307" s="53" t="str">
        <f>VLOOKUP(Table1[[#This Row],[Eelarvekonto]],Table5[[Konto]:[Kontode alanimetus]],5,FALSE)</f>
        <v>Majandamiskulud</v>
      </c>
      <c r="R1307" s="53" t="str">
        <f>VLOOKUP(Table1[[#This Row],[Tegevusala kood]],Table4[[Tegevusala kood]:[Tegevusala alanimetus]],4,FALSE)</f>
        <v>Muu elamu- ja kommunaalmajanduse tegevus</v>
      </c>
      <c r="S1307" s="53"/>
      <c r="T1307" s="53"/>
      <c r="U1307" s="53">
        <f>Table1[[#This Row],[Summa]]+Table1[[#This Row],[I Muudatus]]+Table1[[#This Row],[II Muudatus]]</f>
        <v>1000</v>
      </c>
    </row>
    <row r="1308" spans="1:21" ht="14.25" hidden="1" customHeight="1" x14ac:dyDescent="0.25">
      <c r="A1308" s="42" t="s">
        <v>140</v>
      </c>
      <c r="B1308" s="42">
        <v>300</v>
      </c>
      <c r="C1308" s="53">
        <v>5504</v>
      </c>
      <c r="D1308" s="53" t="str">
        <f>LEFT(Table1[[#This Row],[Eelarvekonto]],2)</f>
        <v>55</v>
      </c>
      <c r="E1308" s="42" t="str">
        <f>VLOOKUP(Table1[[#This Row],[Eelarvekonto]],Table5[[Konto]:[Konto nimetus]],2,FALSE)</f>
        <v>Koolituskulud (sh koolituslähetus)</v>
      </c>
      <c r="F1308" s="42" t="s">
        <v>139</v>
      </c>
      <c r="G1308" s="42" t="s">
        <v>24</v>
      </c>
      <c r="H1308" s="42"/>
      <c r="I1308" s="42"/>
      <c r="J1308" s="42" t="s">
        <v>311</v>
      </c>
      <c r="K1308" s="42" t="s">
        <v>81</v>
      </c>
      <c r="L1308" s="81" t="s">
        <v>310</v>
      </c>
      <c r="M1308" s="82" t="str">
        <f>LEFT(Table1[[#This Row],[Tegevusala kood]],2)</f>
        <v>06</v>
      </c>
      <c r="N1308" s="53" t="str">
        <f>VLOOKUP(Table1[[#This Row],[Tegevusala kood]],Table4[[Tegevusala kood]:[Tegevusala alanimetus]],2,FALSE)</f>
        <v>Ulvi, Vinni-Pajusti teeninduspiirkond</v>
      </c>
      <c r="O1308" s="42"/>
      <c r="P1308" s="42"/>
      <c r="Q1308" s="53" t="str">
        <f>VLOOKUP(Table1[[#This Row],[Eelarvekonto]],Table5[[Konto]:[Kontode alanimetus]],5,FALSE)</f>
        <v>Majandamiskulud</v>
      </c>
      <c r="R1308" s="53" t="str">
        <f>VLOOKUP(Table1[[#This Row],[Tegevusala kood]],Table4[[Tegevusala kood]:[Tegevusala alanimetus]],4,FALSE)</f>
        <v>Muu elamu- ja kommunaalmajanduse tegevus</v>
      </c>
      <c r="S1308" s="53"/>
      <c r="T1308" s="53"/>
      <c r="U1308" s="53">
        <f>Table1[[#This Row],[Summa]]+Table1[[#This Row],[I Muudatus]]+Table1[[#This Row],[II Muudatus]]</f>
        <v>300</v>
      </c>
    </row>
    <row r="1309" spans="1:21" ht="14.25" hidden="1" customHeight="1" x14ac:dyDescent="0.25">
      <c r="A1309" s="42" t="s">
        <v>141</v>
      </c>
      <c r="B1309" s="42">
        <v>300</v>
      </c>
      <c r="C1309" s="53">
        <v>5525</v>
      </c>
      <c r="D1309" s="53" t="str">
        <f>LEFT(Table1[[#This Row],[Eelarvekonto]],2)</f>
        <v>55</v>
      </c>
      <c r="E1309" s="42" t="str">
        <f>VLOOKUP(Table1[[#This Row],[Eelarvekonto]],Table5[[Konto]:[Konto nimetus]],2,FALSE)</f>
        <v>Kommunikatsiooni-, kultuuri- ja vaba aja sisustamise kulud</v>
      </c>
      <c r="F1309" s="42" t="s">
        <v>139</v>
      </c>
      <c r="G1309" s="42" t="s">
        <v>24</v>
      </c>
      <c r="H1309" s="42"/>
      <c r="I1309" s="42"/>
      <c r="J1309" s="42" t="s">
        <v>311</v>
      </c>
      <c r="K1309" s="42" t="s">
        <v>81</v>
      </c>
      <c r="L1309" s="81" t="s">
        <v>310</v>
      </c>
      <c r="M1309" s="82" t="str">
        <f>LEFT(Table1[[#This Row],[Tegevusala kood]],2)</f>
        <v>06</v>
      </c>
      <c r="N1309" s="53" t="str">
        <f>VLOOKUP(Table1[[#This Row],[Tegevusala kood]],Table4[[Tegevusala kood]:[Tegevusala alanimetus]],2,FALSE)</f>
        <v>Ulvi, Vinni-Pajusti teeninduspiirkond</v>
      </c>
      <c r="O1309" s="42"/>
      <c r="P1309" s="42"/>
      <c r="Q1309" s="53" t="str">
        <f>VLOOKUP(Table1[[#This Row],[Eelarvekonto]],Table5[[Konto]:[Kontode alanimetus]],5,FALSE)</f>
        <v>Majandamiskulud</v>
      </c>
      <c r="R1309" s="53" t="str">
        <f>VLOOKUP(Table1[[#This Row],[Tegevusala kood]],Table4[[Tegevusala kood]:[Tegevusala alanimetus]],4,FALSE)</f>
        <v>Muu elamu- ja kommunaalmajanduse tegevus</v>
      </c>
      <c r="S1309" s="53"/>
      <c r="T1309" s="53"/>
      <c r="U1309" s="53">
        <f>Table1[[#This Row],[Summa]]+Table1[[#This Row],[I Muudatus]]+Table1[[#This Row],[II Muudatus]]</f>
        <v>300</v>
      </c>
    </row>
    <row r="1310" spans="1:21" ht="14.25" hidden="1" customHeight="1" x14ac:dyDescent="0.25">
      <c r="A1310" s="42" t="s">
        <v>151</v>
      </c>
      <c r="B1310" s="42">
        <v>100</v>
      </c>
      <c r="C1310" s="53">
        <v>5522</v>
      </c>
      <c r="D1310" s="53" t="str">
        <f>LEFT(Table1[[#This Row],[Eelarvekonto]],2)</f>
        <v>55</v>
      </c>
      <c r="E1310" s="42" t="str">
        <f>VLOOKUP(Table1[[#This Row],[Eelarvekonto]],Table5[[Konto]:[Konto nimetus]],2,FALSE)</f>
        <v>Meditsiinikulud ja hügieenikulud</v>
      </c>
      <c r="F1310" s="42" t="s">
        <v>139</v>
      </c>
      <c r="G1310" s="42" t="s">
        <v>24</v>
      </c>
      <c r="H1310" s="42"/>
      <c r="I1310" s="42"/>
      <c r="J1310" s="42" t="s">
        <v>311</v>
      </c>
      <c r="K1310" s="42" t="s">
        <v>81</v>
      </c>
      <c r="L1310" s="81" t="s">
        <v>310</v>
      </c>
      <c r="M1310" s="82" t="str">
        <f>LEFT(Table1[[#This Row],[Tegevusala kood]],2)</f>
        <v>06</v>
      </c>
      <c r="N1310" s="53" t="str">
        <f>VLOOKUP(Table1[[#This Row],[Tegevusala kood]],Table4[[Tegevusala kood]:[Tegevusala alanimetus]],2,FALSE)</f>
        <v>Ulvi, Vinni-Pajusti teeninduspiirkond</v>
      </c>
      <c r="O1310" s="42"/>
      <c r="P1310" s="42"/>
      <c r="Q1310" s="53" t="str">
        <f>VLOOKUP(Table1[[#This Row],[Eelarvekonto]],Table5[[Konto]:[Kontode alanimetus]],5,FALSE)</f>
        <v>Majandamiskulud</v>
      </c>
      <c r="R1310" s="53" t="str">
        <f>VLOOKUP(Table1[[#This Row],[Tegevusala kood]],Table4[[Tegevusala kood]:[Tegevusala alanimetus]],4,FALSE)</f>
        <v>Muu elamu- ja kommunaalmajanduse tegevus</v>
      </c>
      <c r="S1310" s="53"/>
      <c r="T1310" s="53"/>
      <c r="U1310" s="53">
        <f>Table1[[#This Row],[Summa]]+Table1[[#This Row],[I Muudatus]]+Table1[[#This Row],[II Muudatus]]</f>
        <v>100</v>
      </c>
    </row>
    <row r="1311" spans="1:21" ht="14.25" hidden="1" customHeight="1" x14ac:dyDescent="0.25">
      <c r="A1311" s="42" t="s">
        <v>1370</v>
      </c>
      <c r="B1311" s="42">
        <v>1400</v>
      </c>
      <c r="C1311" s="53">
        <v>551307</v>
      </c>
      <c r="D1311" s="53" t="str">
        <f>LEFT(Table1[[#This Row],[Eelarvekonto]],2)</f>
        <v>55</v>
      </c>
      <c r="E1311" s="42" t="str">
        <f>VLOOKUP(Table1[[#This Row],[Eelarvekonto]],Table5[[Konto]:[Konto nimetus]],2,FALSE)</f>
        <v>Kindlustus</v>
      </c>
      <c r="F1311" s="42" t="s">
        <v>139</v>
      </c>
      <c r="G1311" s="42" t="s">
        <v>24</v>
      </c>
      <c r="H1311" s="42"/>
      <c r="I1311" s="42"/>
      <c r="J1311" s="42" t="s">
        <v>311</v>
      </c>
      <c r="K1311" s="42" t="s">
        <v>81</v>
      </c>
      <c r="L1311" s="81" t="s">
        <v>310</v>
      </c>
      <c r="M1311" s="82" t="str">
        <f>LEFT(Table1[[#This Row],[Tegevusala kood]],2)</f>
        <v>06</v>
      </c>
      <c r="N1311" s="53" t="str">
        <f>VLOOKUP(Table1[[#This Row],[Tegevusala kood]],Table4[[Tegevusala kood]:[Tegevusala alanimetus]],2,FALSE)</f>
        <v>Ulvi, Vinni-Pajusti teeninduspiirkond</v>
      </c>
      <c r="O1311" s="42"/>
      <c r="P1311" s="42"/>
      <c r="Q1311" s="53" t="str">
        <f>VLOOKUP(Table1[[#This Row],[Eelarvekonto]],Table5[[Konto]:[Kontode alanimetus]],5,FALSE)</f>
        <v>Majandamiskulud</v>
      </c>
      <c r="R1311" s="53" t="str">
        <f>VLOOKUP(Table1[[#This Row],[Tegevusala kood]],Table4[[Tegevusala kood]:[Tegevusala alanimetus]],4,FALSE)</f>
        <v>Muu elamu- ja kommunaalmajanduse tegevus</v>
      </c>
      <c r="S1311" s="53"/>
      <c r="T1311" s="53"/>
      <c r="U1311" s="53">
        <f>Table1[[#This Row],[Summa]]+Table1[[#This Row],[I Muudatus]]+Table1[[#This Row],[II Muudatus]]</f>
        <v>1400</v>
      </c>
    </row>
    <row r="1312" spans="1:21" ht="14.25" hidden="1" customHeight="1" x14ac:dyDescent="0.25">
      <c r="A1312" s="42" t="s">
        <v>173</v>
      </c>
      <c r="B1312" s="42">
        <v>9200</v>
      </c>
      <c r="C1312" s="53">
        <v>5513</v>
      </c>
      <c r="D1312" s="53" t="str">
        <f>LEFT(Table1[[#This Row],[Eelarvekonto]],2)</f>
        <v>55</v>
      </c>
      <c r="E1312" s="42" t="str">
        <f>VLOOKUP(Table1[[#This Row],[Eelarvekonto]],Table5[[Konto]:[Konto nimetus]],2,FALSE)</f>
        <v>Sõidukite ülalpidamise kulud</v>
      </c>
      <c r="F1312" s="42" t="s">
        <v>139</v>
      </c>
      <c r="G1312" s="42" t="s">
        <v>24</v>
      </c>
      <c r="H1312" s="42"/>
      <c r="I1312" s="42"/>
      <c r="J1312" s="42" t="s">
        <v>311</v>
      </c>
      <c r="K1312" s="42" t="s">
        <v>81</v>
      </c>
      <c r="L1312" s="81" t="s">
        <v>310</v>
      </c>
      <c r="M1312" s="82" t="str">
        <f>LEFT(Table1[[#This Row],[Tegevusala kood]],2)</f>
        <v>06</v>
      </c>
      <c r="N1312" s="53" t="str">
        <f>VLOOKUP(Table1[[#This Row],[Tegevusala kood]],Table4[[Tegevusala kood]:[Tegevusala alanimetus]],2,FALSE)</f>
        <v>Ulvi, Vinni-Pajusti teeninduspiirkond</v>
      </c>
      <c r="O1312" s="42"/>
      <c r="P1312" s="42"/>
      <c r="Q1312" s="53" t="str">
        <f>VLOOKUP(Table1[[#This Row],[Eelarvekonto]],Table5[[Konto]:[Kontode alanimetus]],5,FALSE)</f>
        <v>Majandamiskulud</v>
      </c>
      <c r="R1312" s="53" t="str">
        <f>VLOOKUP(Table1[[#This Row],[Tegevusala kood]],Table4[[Tegevusala kood]:[Tegevusala alanimetus]],4,FALSE)</f>
        <v>Muu elamu- ja kommunaalmajanduse tegevus</v>
      </c>
      <c r="S1312" s="53"/>
      <c r="T1312" s="53"/>
      <c r="U1312" s="53">
        <f>Table1[[#This Row],[Summa]]+Table1[[#This Row],[I Muudatus]]+Table1[[#This Row],[II Muudatus]]</f>
        <v>9200</v>
      </c>
    </row>
    <row r="1313" spans="1:21" ht="14.25" hidden="1" customHeight="1" x14ac:dyDescent="0.25">
      <c r="A1313" s="42" t="s">
        <v>314</v>
      </c>
      <c r="B1313" s="42">
        <v>800</v>
      </c>
      <c r="C1313" s="53">
        <v>5511</v>
      </c>
      <c r="D1313" s="53" t="str">
        <f>LEFT(Table1[[#This Row],[Eelarvekonto]],2)</f>
        <v>55</v>
      </c>
      <c r="E1313" s="42" t="str">
        <f>VLOOKUP(Table1[[#This Row],[Eelarvekonto]],Table5[[Konto]:[Konto nimetus]],2,FALSE)</f>
        <v>Kinnistute, hoonete ja ruumide majandamiskulud</v>
      </c>
      <c r="F1313" s="42" t="s">
        <v>139</v>
      </c>
      <c r="G1313" s="42" t="s">
        <v>24</v>
      </c>
      <c r="H1313" s="42"/>
      <c r="I1313" s="42"/>
      <c r="J1313" s="42" t="s">
        <v>311</v>
      </c>
      <c r="K1313" s="42" t="s">
        <v>81</v>
      </c>
      <c r="L1313" s="81" t="s">
        <v>310</v>
      </c>
      <c r="M1313" s="82" t="str">
        <f>LEFT(Table1[[#This Row],[Tegevusala kood]],2)</f>
        <v>06</v>
      </c>
      <c r="N1313" s="53" t="str">
        <f>VLOOKUP(Table1[[#This Row],[Tegevusala kood]],Table4[[Tegevusala kood]:[Tegevusala alanimetus]],2,FALSE)</f>
        <v>Ulvi, Vinni-Pajusti teeninduspiirkond</v>
      </c>
      <c r="O1313" s="42"/>
      <c r="P1313" s="42"/>
      <c r="Q1313" s="53" t="str">
        <f>VLOOKUP(Table1[[#This Row],[Eelarvekonto]],Table5[[Konto]:[Kontode alanimetus]],5,FALSE)</f>
        <v>Majandamiskulud</v>
      </c>
      <c r="R1313" s="53" t="str">
        <f>VLOOKUP(Table1[[#This Row],[Tegevusala kood]],Table4[[Tegevusala kood]:[Tegevusala alanimetus]],4,FALSE)</f>
        <v>Muu elamu- ja kommunaalmajanduse tegevus</v>
      </c>
      <c r="S1313" s="53"/>
      <c r="T1313" s="53"/>
      <c r="U1313" s="53">
        <f>Table1[[#This Row],[Summa]]+Table1[[#This Row],[I Muudatus]]+Table1[[#This Row],[II Muudatus]]</f>
        <v>800</v>
      </c>
    </row>
    <row r="1314" spans="1:21" ht="14.25" hidden="1" customHeight="1" x14ac:dyDescent="0.25">
      <c r="A1314" s="42" t="s">
        <v>1371</v>
      </c>
      <c r="B1314" s="42">
        <v>8000</v>
      </c>
      <c r="C1314" s="53">
        <v>5511</v>
      </c>
      <c r="D1314" s="53" t="str">
        <f>LEFT(Table1[[#This Row],[Eelarvekonto]],2)</f>
        <v>55</v>
      </c>
      <c r="E1314" s="42" t="str">
        <f>VLOOKUP(Table1[[#This Row],[Eelarvekonto]],Table5[[Konto]:[Konto nimetus]],2,FALSE)</f>
        <v>Kinnistute, hoonete ja ruumide majandamiskulud</v>
      </c>
      <c r="F1314" s="42" t="s">
        <v>139</v>
      </c>
      <c r="G1314" s="42" t="s">
        <v>24</v>
      </c>
      <c r="H1314" s="42"/>
      <c r="I1314" s="42"/>
      <c r="J1314" s="42" t="s">
        <v>311</v>
      </c>
      <c r="K1314" s="42" t="s">
        <v>81</v>
      </c>
      <c r="L1314" s="81" t="s">
        <v>310</v>
      </c>
      <c r="M1314" s="82" t="str">
        <f>LEFT(Table1[[#This Row],[Tegevusala kood]],2)</f>
        <v>06</v>
      </c>
      <c r="N1314" s="53" t="str">
        <f>VLOOKUP(Table1[[#This Row],[Tegevusala kood]],Table4[[Tegevusala kood]:[Tegevusala alanimetus]],2,FALSE)</f>
        <v>Ulvi, Vinni-Pajusti teeninduspiirkond</v>
      </c>
      <c r="O1314" s="42"/>
      <c r="P1314" s="42"/>
      <c r="Q1314" s="53" t="str">
        <f>VLOOKUP(Table1[[#This Row],[Eelarvekonto]],Table5[[Konto]:[Kontode alanimetus]],5,FALSE)</f>
        <v>Majandamiskulud</v>
      </c>
      <c r="R1314" s="53" t="str">
        <f>VLOOKUP(Table1[[#This Row],[Tegevusala kood]],Table4[[Tegevusala kood]:[Tegevusala alanimetus]],4,FALSE)</f>
        <v>Muu elamu- ja kommunaalmajanduse tegevus</v>
      </c>
      <c r="S1314" s="53"/>
      <c r="T1314" s="53"/>
      <c r="U1314" s="53">
        <f>Table1[[#This Row],[Summa]]+Table1[[#This Row],[I Muudatus]]+Table1[[#This Row],[II Muudatus]]</f>
        <v>8000</v>
      </c>
    </row>
    <row r="1315" spans="1:21" ht="14.25" hidden="1" customHeight="1" x14ac:dyDescent="0.25">
      <c r="A1315" s="42" t="s">
        <v>1292</v>
      </c>
      <c r="B1315" s="42">
        <v>8000</v>
      </c>
      <c r="C1315" s="53">
        <v>5511</v>
      </c>
      <c r="D1315" s="53" t="str">
        <f>LEFT(Table1[[#This Row],[Eelarvekonto]],2)</f>
        <v>55</v>
      </c>
      <c r="E1315" s="42" t="str">
        <f>VLOOKUP(Table1[[#This Row],[Eelarvekonto]],Table5[[Konto]:[Konto nimetus]],2,FALSE)</f>
        <v>Kinnistute, hoonete ja ruumide majandamiskulud</v>
      </c>
      <c r="F1315" s="42" t="s">
        <v>139</v>
      </c>
      <c r="G1315" s="42" t="s">
        <v>24</v>
      </c>
      <c r="H1315" s="42"/>
      <c r="I1315" s="42"/>
      <c r="J1315" s="42" t="s">
        <v>311</v>
      </c>
      <c r="K1315" s="42" t="s">
        <v>81</v>
      </c>
      <c r="L1315" s="81" t="s">
        <v>310</v>
      </c>
      <c r="M1315" s="82" t="str">
        <f>LEFT(Table1[[#This Row],[Tegevusala kood]],2)</f>
        <v>06</v>
      </c>
      <c r="N1315" s="53" t="str">
        <f>VLOOKUP(Table1[[#This Row],[Tegevusala kood]],Table4[[Tegevusala kood]:[Tegevusala alanimetus]],2,FALSE)</f>
        <v>Ulvi, Vinni-Pajusti teeninduspiirkond</v>
      </c>
      <c r="O1315" s="42"/>
      <c r="P1315" s="42"/>
      <c r="Q1315" s="53" t="str">
        <f>VLOOKUP(Table1[[#This Row],[Eelarvekonto]],Table5[[Konto]:[Kontode alanimetus]],5,FALSE)</f>
        <v>Majandamiskulud</v>
      </c>
      <c r="R1315" s="53" t="str">
        <f>VLOOKUP(Table1[[#This Row],[Tegevusala kood]],Table4[[Tegevusala kood]:[Tegevusala alanimetus]],4,FALSE)</f>
        <v>Muu elamu- ja kommunaalmajanduse tegevus</v>
      </c>
      <c r="S1315" s="53"/>
      <c r="T1315" s="53"/>
      <c r="U1315" s="53">
        <f>Table1[[#This Row],[Summa]]+Table1[[#This Row],[I Muudatus]]+Table1[[#This Row],[II Muudatus]]</f>
        <v>8000</v>
      </c>
    </row>
    <row r="1316" spans="1:21" ht="14.25" hidden="1" customHeight="1" x14ac:dyDescent="0.25">
      <c r="A1316" s="42" t="s">
        <v>158</v>
      </c>
      <c r="B1316" s="42">
        <v>5019.3</v>
      </c>
      <c r="C1316" s="53">
        <v>506</v>
      </c>
      <c r="D1316" s="53" t="str">
        <f>LEFT(Table1[[#This Row],[Eelarvekonto]],2)</f>
        <v>50</v>
      </c>
      <c r="E1316" s="42" t="str">
        <f>VLOOKUP(Table1[[#This Row],[Eelarvekonto]],Table5[[Konto]:[Konto nimetus]],2,FALSE)</f>
        <v>Tööjõukuludega kaasnevad maksud ja sotsiaalkindlustusmaksed</v>
      </c>
      <c r="F1316" s="42" t="s">
        <v>139</v>
      </c>
      <c r="G1316" s="42" t="s">
        <v>24</v>
      </c>
      <c r="H1316" s="42"/>
      <c r="I1316" s="42"/>
      <c r="J1316" s="42" t="s">
        <v>311</v>
      </c>
      <c r="K1316" s="42" t="s">
        <v>81</v>
      </c>
      <c r="L1316" s="81" t="s">
        <v>310</v>
      </c>
      <c r="M1316" s="82" t="str">
        <f>LEFT(Table1[[#This Row],[Tegevusala kood]],2)</f>
        <v>06</v>
      </c>
      <c r="N1316" s="53" t="str">
        <f>VLOOKUP(Table1[[#This Row],[Tegevusala kood]],Table4[[Tegevusala kood]:[Tegevusala alanimetus]],2,FALSE)</f>
        <v>Ulvi, Vinni-Pajusti teeninduspiirkond</v>
      </c>
      <c r="O1316" s="42"/>
      <c r="P1316" s="42"/>
      <c r="Q1316" s="53" t="str">
        <f>VLOOKUP(Table1[[#This Row],[Eelarvekonto]],Table5[[Konto]:[Kontode alanimetus]],5,FALSE)</f>
        <v>Tööjõukulud</v>
      </c>
      <c r="R1316" s="53" t="str">
        <f>VLOOKUP(Table1[[#This Row],[Tegevusala kood]],Table4[[Tegevusala kood]:[Tegevusala alanimetus]],4,FALSE)</f>
        <v>Muu elamu- ja kommunaalmajanduse tegevus</v>
      </c>
      <c r="S1316" s="53"/>
      <c r="T1316" s="53"/>
      <c r="U1316" s="53">
        <f>Table1[[#This Row],[Summa]]+Table1[[#This Row],[I Muudatus]]+Table1[[#This Row],[II Muudatus]]</f>
        <v>5019.3</v>
      </c>
    </row>
    <row r="1317" spans="1:21" ht="14.25" hidden="1" customHeight="1" x14ac:dyDescent="0.25">
      <c r="A1317" s="42" t="s">
        <v>156</v>
      </c>
      <c r="B1317" s="42">
        <v>10000</v>
      </c>
      <c r="C1317" s="53">
        <v>5005</v>
      </c>
      <c r="D1317" s="53" t="str">
        <f>LEFT(Table1[[#This Row],[Eelarvekonto]],2)</f>
        <v>50</v>
      </c>
      <c r="E1317" s="42" t="str">
        <f>VLOOKUP(Table1[[#This Row],[Eelarvekonto]],Table5[[Konto]:[Konto nimetus]],2,FALSE)</f>
        <v>Töötasud võlaõiguslike lepingute alusel</v>
      </c>
      <c r="F1317" s="42" t="s">
        <v>139</v>
      </c>
      <c r="G1317" s="42" t="s">
        <v>24</v>
      </c>
      <c r="H1317" s="42"/>
      <c r="I1317" s="42"/>
      <c r="J1317" s="42" t="s">
        <v>311</v>
      </c>
      <c r="K1317" s="42" t="s">
        <v>81</v>
      </c>
      <c r="L1317" s="81" t="s">
        <v>310</v>
      </c>
      <c r="M1317" s="82" t="str">
        <f>LEFT(Table1[[#This Row],[Tegevusala kood]],2)</f>
        <v>06</v>
      </c>
      <c r="N1317" s="53" t="str">
        <f>VLOOKUP(Table1[[#This Row],[Tegevusala kood]],Table4[[Tegevusala kood]:[Tegevusala alanimetus]],2,FALSE)</f>
        <v>Ulvi, Vinni-Pajusti teeninduspiirkond</v>
      </c>
      <c r="O1317" s="42"/>
      <c r="P1317" s="42"/>
      <c r="Q1317" s="53" t="str">
        <f>VLOOKUP(Table1[[#This Row],[Eelarvekonto]],Table5[[Konto]:[Kontode alanimetus]],5,FALSE)</f>
        <v>Tööjõukulud</v>
      </c>
      <c r="R1317" s="53" t="str">
        <f>VLOOKUP(Table1[[#This Row],[Tegevusala kood]],Table4[[Tegevusala kood]:[Tegevusala alanimetus]],4,FALSE)</f>
        <v>Muu elamu- ja kommunaalmajanduse tegevus</v>
      </c>
      <c r="S1317" s="53"/>
      <c r="T1317" s="53"/>
      <c r="U1317" s="53">
        <f>Table1[[#This Row],[Summa]]+Table1[[#This Row],[I Muudatus]]+Table1[[#This Row],[II Muudatus]]</f>
        <v>10000</v>
      </c>
    </row>
    <row r="1318" spans="1:21" ht="14.25" hidden="1" customHeight="1" x14ac:dyDescent="0.25">
      <c r="A1318" s="42" t="s">
        <v>1372</v>
      </c>
      <c r="B1318" s="42">
        <v>3000</v>
      </c>
      <c r="C1318" s="53">
        <v>5511</v>
      </c>
      <c r="D1318" s="53" t="str">
        <f>LEFT(Table1[[#This Row],[Eelarvekonto]],2)</f>
        <v>55</v>
      </c>
      <c r="E1318" s="42" t="str">
        <f>VLOOKUP(Table1[[#This Row],[Eelarvekonto]],Table5[[Konto]:[Konto nimetus]],2,FALSE)</f>
        <v>Kinnistute, hoonete ja ruumide majandamiskulud</v>
      </c>
      <c r="F1318" s="42" t="s">
        <v>139</v>
      </c>
      <c r="G1318" s="42" t="s">
        <v>24</v>
      </c>
      <c r="H1318" s="42"/>
      <c r="I1318" s="42"/>
      <c r="J1318" s="42" t="s">
        <v>365</v>
      </c>
      <c r="K1318" s="42" t="s">
        <v>364</v>
      </c>
      <c r="L1318" s="81" t="s">
        <v>374</v>
      </c>
      <c r="M1318" s="82" t="str">
        <f>LEFT(Table1[[#This Row],[Tegevusala kood]],2)</f>
        <v>10</v>
      </c>
      <c r="N1318" s="53" t="str">
        <f>VLOOKUP(Table1[[#This Row],[Tegevusala kood]],Table4[[Tegevusala kood]:[Tegevusala alanimetus]],2,FALSE)</f>
        <v>Eluasemeteenused sotsiaalsetele riskirühmadele</v>
      </c>
      <c r="O1318" s="42"/>
      <c r="P1318" s="42"/>
      <c r="Q1318" s="53" t="str">
        <f>VLOOKUP(Table1[[#This Row],[Eelarvekonto]],Table5[[Konto]:[Kontode alanimetus]],5,FALSE)</f>
        <v>Majandamiskulud</v>
      </c>
      <c r="R1318" s="53" t="str">
        <f>VLOOKUP(Table1[[#This Row],[Tegevusala kood]],Table4[[Tegevusala kood]:[Tegevusala alanimetus]],4,FALSE)</f>
        <v>Eluasemeteenused sotsiaalsetele riskirühmadele</v>
      </c>
      <c r="S1318" s="53"/>
      <c r="T1318" s="53"/>
      <c r="U1318" s="53">
        <f>Table1[[#This Row],[Summa]]+Table1[[#This Row],[I Muudatus]]+Table1[[#This Row],[II Muudatus]]</f>
        <v>3000</v>
      </c>
    </row>
    <row r="1319" spans="1:21" ht="14.25" hidden="1" customHeight="1" x14ac:dyDescent="0.25">
      <c r="A1319" s="42" t="s">
        <v>1373</v>
      </c>
      <c r="B1319" s="42">
        <v>12000</v>
      </c>
      <c r="C1319" s="53">
        <v>5511</v>
      </c>
      <c r="D1319" s="53" t="str">
        <f>LEFT(Table1[[#This Row],[Eelarvekonto]],2)</f>
        <v>55</v>
      </c>
      <c r="E1319" s="42" t="str">
        <f>VLOOKUP(Table1[[#This Row],[Eelarvekonto]],Table5[[Konto]:[Konto nimetus]],2,FALSE)</f>
        <v>Kinnistute, hoonete ja ruumide majandamiskulud</v>
      </c>
      <c r="F1319" s="42" t="s">
        <v>139</v>
      </c>
      <c r="G1319" s="42" t="s">
        <v>24</v>
      </c>
      <c r="H1319" s="42"/>
      <c r="I1319" s="42"/>
      <c r="J1319" s="42" t="s">
        <v>365</v>
      </c>
      <c r="K1319" s="42" t="s">
        <v>364</v>
      </c>
      <c r="L1319" s="81" t="s">
        <v>374</v>
      </c>
      <c r="M1319" s="82" t="str">
        <f>LEFT(Table1[[#This Row],[Tegevusala kood]],2)</f>
        <v>10</v>
      </c>
      <c r="N1319" s="53" t="str">
        <f>VLOOKUP(Table1[[#This Row],[Tegevusala kood]],Table4[[Tegevusala kood]:[Tegevusala alanimetus]],2,FALSE)</f>
        <v>Eluasemeteenused sotsiaalsetele riskirühmadele</v>
      </c>
      <c r="O1319" s="42"/>
      <c r="P1319" s="42"/>
      <c r="Q1319" s="53" t="str">
        <f>VLOOKUP(Table1[[#This Row],[Eelarvekonto]],Table5[[Konto]:[Kontode alanimetus]],5,FALSE)</f>
        <v>Majandamiskulud</v>
      </c>
      <c r="R1319" s="53" t="str">
        <f>VLOOKUP(Table1[[#This Row],[Tegevusala kood]],Table4[[Tegevusala kood]:[Tegevusala alanimetus]],4,FALSE)</f>
        <v>Eluasemeteenused sotsiaalsetele riskirühmadele</v>
      </c>
      <c r="S1319" s="53"/>
      <c r="T1319" s="53"/>
      <c r="U1319" s="53">
        <f>Table1[[#This Row],[Summa]]+Table1[[#This Row],[I Muudatus]]+Table1[[#This Row],[II Muudatus]]</f>
        <v>12000</v>
      </c>
    </row>
    <row r="1320" spans="1:21" ht="14.25" hidden="1" customHeight="1" x14ac:dyDescent="0.25">
      <c r="A1320" s="42" t="s">
        <v>1374</v>
      </c>
      <c r="B1320" s="42">
        <v>1400</v>
      </c>
      <c r="C1320" s="53">
        <v>5515</v>
      </c>
      <c r="D1320" s="53" t="str">
        <f>LEFT(Table1[[#This Row],[Eelarvekonto]],2)</f>
        <v>55</v>
      </c>
      <c r="E1320" s="42" t="str">
        <f>VLOOKUP(Table1[[#This Row],[Eelarvekonto]],Table5[[Konto]:[Konto nimetus]],2,FALSE)</f>
        <v>Inventari majandamiskulud</v>
      </c>
      <c r="F1320" s="42" t="s">
        <v>139</v>
      </c>
      <c r="G1320" s="42" t="s">
        <v>24</v>
      </c>
      <c r="H1320" s="42"/>
      <c r="I1320" s="42"/>
      <c r="J1320" s="42" t="s">
        <v>218</v>
      </c>
      <c r="K1320" s="42" t="s">
        <v>98</v>
      </c>
      <c r="L1320" s="81" t="s">
        <v>217</v>
      </c>
      <c r="M1320" s="82" t="str">
        <f>LEFT(Table1[[#This Row],[Tegevusala kood]],2)</f>
        <v>08</v>
      </c>
      <c r="N1320" s="53" t="str">
        <f>VLOOKUP(Table1[[#This Row],[Tegevusala kood]],Table4[[Tegevusala kood]:[Tegevusala alanimetus]],2,FALSE)</f>
        <v>Laekvere Rahvamaja</v>
      </c>
      <c r="O1320" s="42"/>
      <c r="P1320" s="42"/>
      <c r="Q1320" s="53" t="str">
        <f>VLOOKUP(Table1[[#This Row],[Eelarvekonto]],Table5[[Konto]:[Kontode alanimetus]],5,FALSE)</f>
        <v>Majandamiskulud</v>
      </c>
      <c r="R1320" s="53" t="str">
        <f>VLOOKUP(Table1[[#This Row],[Tegevusala kood]],Table4[[Tegevusala kood]:[Tegevusala alanimetus]],4,FALSE)</f>
        <v>Rahvakultuur</v>
      </c>
      <c r="S1320" s="53"/>
      <c r="T1320" s="53"/>
      <c r="U1320" s="53">
        <f>Table1[[#This Row],[Summa]]+Table1[[#This Row],[I Muudatus]]+Table1[[#This Row],[II Muudatus]]</f>
        <v>1400</v>
      </c>
    </row>
    <row r="1321" spans="1:21" ht="14.25" hidden="1" customHeight="1" x14ac:dyDescent="0.25">
      <c r="A1321" s="42" t="s">
        <v>1375</v>
      </c>
      <c r="B1321" s="42">
        <v>190</v>
      </c>
      <c r="C1321" s="53">
        <v>5500</v>
      </c>
      <c r="D1321" s="53" t="str">
        <f>LEFT(Table1[[#This Row],[Eelarvekonto]],2)</f>
        <v>55</v>
      </c>
      <c r="E1321" s="42" t="str">
        <f>VLOOKUP(Table1[[#This Row],[Eelarvekonto]],Table5[[Konto]:[Konto nimetus]],2,FALSE)</f>
        <v>Administreerimiskulud</v>
      </c>
      <c r="F1321" s="42" t="s">
        <v>139</v>
      </c>
      <c r="G1321" s="42" t="s">
        <v>24</v>
      </c>
      <c r="H1321" s="42"/>
      <c r="I1321" s="42"/>
      <c r="J1321" s="42" t="s">
        <v>218</v>
      </c>
      <c r="K1321" s="42" t="s">
        <v>98</v>
      </c>
      <c r="L1321" s="81" t="s">
        <v>217</v>
      </c>
      <c r="M1321" s="82" t="str">
        <f>LEFT(Table1[[#This Row],[Tegevusala kood]],2)</f>
        <v>08</v>
      </c>
      <c r="N1321" s="53" t="str">
        <f>VLOOKUP(Table1[[#This Row],[Tegevusala kood]],Table4[[Tegevusala kood]:[Tegevusala alanimetus]],2,FALSE)</f>
        <v>Laekvere Rahvamaja</v>
      </c>
      <c r="O1321" s="42"/>
      <c r="P1321" s="42"/>
      <c r="Q1321" s="53" t="str">
        <f>VLOOKUP(Table1[[#This Row],[Eelarvekonto]],Table5[[Konto]:[Kontode alanimetus]],5,FALSE)</f>
        <v>Majandamiskulud</v>
      </c>
      <c r="R1321" s="53" t="str">
        <f>VLOOKUP(Table1[[#This Row],[Tegevusala kood]],Table4[[Tegevusala kood]:[Tegevusala alanimetus]],4,FALSE)</f>
        <v>Rahvakultuur</v>
      </c>
      <c r="S1321" s="53"/>
      <c r="T1321" s="53"/>
      <c r="U1321" s="53">
        <f>Table1[[#This Row],[Summa]]+Table1[[#This Row],[I Muudatus]]+Table1[[#This Row],[II Muudatus]]</f>
        <v>190</v>
      </c>
    </row>
    <row r="1322" spans="1:21" ht="14.25" hidden="1" customHeight="1" x14ac:dyDescent="0.25">
      <c r="A1322" s="42" t="s">
        <v>1376</v>
      </c>
      <c r="B1322" s="42">
        <v>300</v>
      </c>
      <c r="C1322" s="53">
        <v>5504</v>
      </c>
      <c r="D1322" s="53" t="str">
        <f>LEFT(Table1[[#This Row],[Eelarvekonto]],2)</f>
        <v>55</v>
      </c>
      <c r="E1322" s="42" t="str">
        <f>VLOOKUP(Table1[[#This Row],[Eelarvekonto]],Table5[[Konto]:[Konto nimetus]],2,FALSE)</f>
        <v>Koolituskulud (sh koolituslähetus)</v>
      </c>
      <c r="F1322" s="42" t="s">
        <v>139</v>
      </c>
      <c r="G1322" s="42" t="s">
        <v>24</v>
      </c>
      <c r="H1322" s="42"/>
      <c r="I1322" s="42"/>
      <c r="J1322" s="42" t="s">
        <v>218</v>
      </c>
      <c r="K1322" s="42" t="s">
        <v>98</v>
      </c>
      <c r="L1322" s="81" t="s">
        <v>217</v>
      </c>
      <c r="M1322" s="82" t="str">
        <f>LEFT(Table1[[#This Row],[Tegevusala kood]],2)</f>
        <v>08</v>
      </c>
      <c r="N1322" s="53" t="str">
        <f>VLOOKUP(Table1[[#This Row],[Tegevusala kood]],Table4[[Tegevusala kood]:[Tegevusala alanimetus]],2,FALSE)</f>
        <v>Laekvere Rahvamaja</v>
      </c>
      <c r="O1322" s="42"/>
      <c r="P1322" s="42"/>
      <c r="Q1322" s="53" t="str">
        <f>VLOOKUP(Table1[[#This Row],[Eelarvekonto]],Table5[[Konto]:[Kontode alanimetus]],5,FALSE)</f>
        <v>Majandamiskulud</v>
      </c>
      <c r="R1322" s="53" t="str">
        <f>VLOOKUP(Table1[[#This Row],[Tegevusala kood]],Table4[[Tegevusala kood]:[Tegevusala alanimetus]],4,FALSE)</f>
        <v>Rahvakultuur</v>
      </c>
      <c r="S1322" s="53"/>
      <c r="T1322" s="53"/>
      <c r="U1322" s="53">
        <f>Table1[[#This Row],[Summa]]+Table1[[#This Row],[I Muudatus]]+Table1[[#This Row],[II Muudatus]]</f>
        <v>300</v>
      </c>
    </row>
    <row r="1323" spans="1:21" ht="14.25" hidden="1" customHeight="1" x14ac:dyDescent="0.25">
      <c r="A1323" s="42" t="s">
        <v>1377</v>
      </c>
      <c r="B1323" s="42">
        <v>1000</v>
      </c>
      <c r="C1323" s="53">
        <v>5511</v>
      </c>
      <c r="D1323" s="53" t="str">
        <f>LEFT(Table1[[#This Row],[Eelarvekonto]],2)</f>
        <v>55</v>
      </c>
      <c r="E1323" s="42" t="str">
        <f>VLOOKUP(Table1[[#This Row],[Eelarvekonto]],Table5[[Konto]:[Konto nimetus]],2,FALSE)</f>
        <v>Kinnistute, hoonete ja ruumide majandamiskulud</v>
      </c>
      <c r="F1323" s="42" t="s">
        <v>139</v>
      </c>
      <c r="G1323" s="42" t="s">
        <v>24</v>
      </c>
      <c r="H1323" s="42"/>
      <c r="I1323" s="42"/>
      <c r="J1323" s="42" t="s">
        <v>218</v>
      </c>
      <c r="K1323" s="42" t="s">
        <v>98</v>
      </c>
      <c r="L1323" s="81" t="s">
        <v>217</v>
      </c>
      <c r="M1323" s="82" t="str">
        <f>LEFT(Table1[[#This Row],[Tegevusala kood]],2)</f>
        <v>08</v>
      </c>
      <c r="N1323" s="53" t="str">
        <f>VLOOKUP(Table1[[#This Row],[Tegevusala kood]],Table4[[Tegevusala kood]:[Tegevusala alanimetus]],2,FALSE)</f>
        <v>Laekvere Rahvamaja</v>
      </c>
      <c r="O1323" s="42"/>
      <c r="P1323" s="42"/>
      <c r="Q1323" s="53" t="str">
        <f>VLOOKUP(Table1[[#This Row],[Eelarvekonto]],Table5[[Konto]:[Kontode alanimetus]],5,FALSE)</f>
        <v>Majandamiskulud</v>
      </c>
      <c r="R1323" s="53" t="str">
        <f>VLOOKUP(Table1[[#This Row],[Tegevusala kood]],Table4[[Tegevusala kood]:[Tegevusala alanimetus]],4,FALSE)</f>
        <v>Rahvakultuur</v>
      </c>
      <c r="S1323" s="53"/>
      <c r="T1323" s="53"/>
      <c r="U1323" s="53">
        <f>Table1[[#This Row],[Summa]]+Table1[[#This Row],[I Muudatus]]+Table1[[#This Row],[II Muudatus]]</f>
        <v>1000</v>
      </c>
    </row>
    <row r="1324" spans="1:21" ht="14.25" hidden="1" customHeight="1" x14ac:dyDescent="0.25">
      <c r="A1324" s="42" t="s">
        <v>1378</v>
      </c>
      <c r="B1324" s="42">
        <v>470</v>
      </c>
      <c r="C1324" s="53">
        <v>5504</v>
      </c>
      <c r="D1324" s="53" t="str">
        <f>LEFT(Table1[[#This Row],[Eelarvekonto]],2)</f>
        <v>55</v>
      </c>
      <c r="E1324" s="42" t="str">
        <f>VLOOKUP(Table1[[#This Row],[Eelarvekonto]],Table5[[Konto]:[Konto nimetus]],2,FALSE)</f>
        <v>Koolituskulud (sh koolituslähetus)</v>
      </c>
      <c r="F1324" s="42" t="s">
        <v>139</v>
      </c>
      <c r="G1324" s="42" t="s">
        <v>24</v>
      </c>
      <c r="H1324" s="42"/>
      <c r="I1324" s="42"/>
      <c r="J1324" s="42" t="s">
        <v>218</v>
      </c>
      <c r="K1324" s="42" t="s">
        <v>98</v>
      </c>
      <c r="L1324" s="81" t="s">
        <v>217</v>
      </c>
      <c r="M1324" s="82" t="str">
        <f>LEFT(Table1[[#This Row],[Tegevusala kood]],2)</f>
        <v>08</v>
      </c>
      <c r="N1324" s="53" t="str">
        <f>VLOOKUP(Table1[[#This Row],[Tegevusala kood]],Table4[[Tegevusala kood]:[Tegevusala alanimetus]],2,FALSE)</f>
        <v>Laekvere Rahvamaja</v>
      </c>
      <c r="O1324" s="42"/>
      <c r="P1324" s="42"/>
      <c r="Q1324" s="53" t="str">
        <f>VLOOKUP(Table1[[#This Row],[Eelarvekonto]],Table5[[Konto]:[Kontode alanimetus]],5,FALSE)</f>
        <v>Majandamiskulud</v>
      </c>
      <c r="R1324" s="53" t="str">
        <f>VLOOKUP(Table1[[#This Row],[Tegevusala kood]],Table4[[Tegevusala kood]:[Tegevusala alanimetus]],4,FALSE)</f>
        <v>Rahvakultuur</v>
      </c>
      <c r="S1324" s="53"/>
      <c r="T1324" s="53"/>
      <c r="U1324" s="53">
        <f>Table1[[#This Row],[Summa]]+Table1[[#This Row],[I Muudatus]]+Table1[[#This Row],[II Muudatus]]</f>
        <v>470</v>
      </c>
    </row>
    <row r="1325" spans="1:21" ht="14.25" hidden="1" customHeight="1" x14ac:dyDescent="0.25">
      <c r="A1325" s="42" t="s">
        <v>220</v>
      </c>
      <c r="B1325" s="42">
        <v>100</v>
      </c>
      <c r="C1325" s="53">
        <v>5500</v>
      </c>
      <c r="D1325" s="53" t="str">
        <f>LEFT(Table1[[#This Row],[Eelarvekonto]],2)</f>
        <v>55</v>
      </c>
      <c r="E1325" s="42" t="str">
        <f>VLOOKUP(Table1[[#This Row],[Eelarvekonto]],Table5[[Konto]:[Konto nimetus]],2,FALSE)</f>
        <v>Administreerimiskulud</v>
      </c>
      <c r="F1325" s="42" t="s">
        <v>139</v>
      </c>
      <c r="G1325" s="42" t="s">
        <v>24</v>
      </c>
      <c r="H1325" s="42"/>
      <c r="I1325" s="42"/>
      <c r="J1325" s="42" t="s">
        <v>218</v>
      </c>
      <c r="K1325" s="42" t="s">
        <v>98</v>
      </c>
      <c r="L1325" s="81" t="s">
        <v>217</v>
      </c>
      <c r="M1325" s="82" t="str">
        <f>LEFT(Table1[[#This Row],[Tegevusala kood]],2)</f>
        <v>08</v>
      </c>
      <c r="N1325" s="53" t="str">
        <f>VLOOKUP(Table1[[#This Row],[Tegevusala kood]],Table4[[Tegevusala kood]:[Tegevusala alanimetus]],2,FALSE)</f>
        <v>Laekvere Rahvamaja</v>
      </c>
      <c r="O1325" s="42"/>
      <c r="P1325" s="42"/>
      <c r="Q1325" s="53" t="str">
        <f>VLOOKUP(Table1[[#This Row],[Eelarvekonto]],Table5[[Konto]:[Kontode alanimetus]],5,FALSE)</f>
        <v>Majandamiskulud</v>
      </c>
      <c r="R1325" s="53" t="str">
        <f>VLOOKUP(Table1[[#This Row],[Tegevusala kood]],Table4[[Tegevusala kood]:[Tegevusala alanimetus]],4,FALSE)</f>
        <v>Rahvakultuur</v>
      </c>
      <c r="S1325" s="53"/>
      <c r="T1325" s="53"/>
      <c r="U1325" s="53">
        <f>Table1[[#This Row],[Summa]]+Table1[[#This Row],[I Muudatus]]+Table1[[#This Row],[II Muudatus]]</f>
        <v>100</v>
      </c>
    </row>
    <row r="1326" spans="1:21" ht="14.25" hidden="1" customHeight="1" x14ac:dyDescent="0.25">
      <c r="A1326" s="42" t="s">
        <v>1379</v>
      </c>
      <c r="B1326" s="42">
        <v>972</v>
      </c>
      <c r="C1326" s="53">
        <v>5005</v>
      </c>
      <c r="D1326" s="53" t="str">
        <f>LEFT(Table1[[#This Row],[Eelarvekonto]],2)</f>
        <v>50</v>
      </c>
      <c r="E1326" s="42" t="str">
        <f>VLOOKUP(Table1[[#This Row],[Eelarvekonto]],Table5[[Konto]:[Konto nimetus]],2,FALSE)</f>
        <v>Töötasud võlaõiguslike lepingute alusel</v>
      </c>
      <c r="F1326" s="42" t="s">
        <v>139</v>
      </c>
      <c r="G1326" s="42" t="s">
        <v>24</v>
      </c>
      <c r="H1326" s="42"/>
      <c r="I1326" s="42"/>
      <c r="J1326" s="42" t="s">
        <v>218</v>
      </c>
      <c r="K1326" s="42" t="s">
        <v>98</v>
      </c>
      <c r="L1326" s="81" t="s">
        <v>217</v>
      </c>
      <c r="M1326" s="82" t="str">
        <f>LEFT(Table1[[#This Row],[Tegevusala kood]],2)</f>
        <v>08</v>
      </c>
      <c r="N1326" s="53" t="str">
        <f>VLOOKUP(Table1[[#This Row],[Tegevusala kood]],Table4[[Tegevusala kood]:[Tegevusala alanimetus]],2,FALSE)</f>
        <v>Laekvere Rahvamaja</v>
      </c>
      <c r="O1326" s="42"/>
      <c r="P1326" s="42"/>
      <c r="Q1326" s="53" t="str">
        <f>VLOOKUP(Table1[[#This Row],[Eelarvekonto]],Table5[[Konto]:[Kontode alanimetus]],5,FALSE)</f>
        <v>Tööjõukulud</v>
      </c>
      <c r="R1326" s="53" t="str">
        <f>VLOOKUP(Table1[[#This Row],[Tegevusala kood]],Table4[[Tegevusala kood]:[Tegevusala alanimetus]],4,FALSE)</f>
        <v>Rahvakultuur</v>
      </c>
      <c r="S1326" s="53"/>
      <c r="T1326" s="53"/>
      <c r="U1326" s="53">
        <f>Table1[[#This Row],[Summa]]+Table1[[#This Row],[I Muudatus]]+Table1[[#This Row],[II Muudatus]]</f>
        <v>972</v>
      </c>
    </row>
    <row r="1327" spans="1:21" ht="14.25" hidden="1" customHeight="1" x14ac:dyDescent="0.25">
      <c r="A1327" s="42" t="s">
        <v>1380</v>
      </c>
      <c r="B1327" s="42">
        <v>612</v>
      </c>
      <c r="C1327" s="53">
        <v>5005</v>
      </c>
      <c r="D1327" s="53" t="str">
        <f>LEFT(Table1[[#This Row],[Eelarvekonto]],2)</f>
        <v>50</v>
      </c>
      <c r="E1327" s="42" t="str">
        <f>VLOOKUP(Table1[[#This Row],[Eelarvekonto]],Table5[[Konto]:[Konto nimetus]],2,FALSE)</f>
        <v>Töötasud võlaõiguslike lepingute alusel</v>
      </c>
      <c r="F1327" s="42" t="s">
        <v>139</v>
      </c>
      <c r="G1327" s="42" t="s">
        <v>24</v>
      </c>
      <c r="H1327" s="42"/>
      <c r="I1327" s="42"/>
      <c r="J1327" s="42" t="s">
        <v>218</v>
      </c>
      <c r="K1327" s="42" t="s">
        <v>98</v>
      </c>
      <c r="L1327" s="81" t="s">
        <v>217</v>
      </c>
      <c r="M1327" s="82" t="str">
        <f>LEFT(Table1[[#This Row],[Tegevusala kood]],2)</f>
        <v>08</v>
      </c>
      <c r="N1327" s="53" t="str">
        <f>VLOOKUP(Table1[[#This Row],[Tegevusala kood]],Table4[[Tegevusala kood]:[Tegevusala alanimetus]],2,FALSE)</f>
        <v>Laekvere Rahvamaja</v>
      </c>
      <c r="O1327" s="42"/>
      <c r="P1327" s="42"/>
      <c r="Q1327" s="53" t="str">
        <f>VLOOKUP(Table1[[#This Row],[Eelarvekonto]],Table5[[Konto]:[Kontode alanimetus]],5,FALSE)</f>
        <v>Tööjõukulud</v>
      </c>
      <c r="R1327" s="53" t="str">
        <f>VLOOKUP(Table1[[#This Row],[Tegevusala kood]],Table4[[Tegevusala kood]:[Tegevusala alanimetus]],4,FALSE)</f>
        <v>Rahvakultuur</v>
      </c>
      <c r="S1327" s="53"/>
      <c r="T1327" s="53"/>
      <c r="U1327" s="53">
        <f>Table1[[#This Row],[Summa]]+Table1[[#This Row],[I Muudatus]]+Table1[[#This Row],[II Muudatus]]</f>
        <v>612</v>
      </c>
    </row>
    <row r="1328" spans="1:21" ht="14.25" hidden="1" customHeight="1" x14ac:dyDescent="0.25">
      <c r="A1328" s="42" t="s">
        <v>1381</v>
      </c>
      <c r="B1328" s="42">
        <v>972</v>
      </c>
      <c r="C1328" s="53">
        <v>5005</v>
      </c>
      <c r="D1328" s="53" t="str">
        <f>LEFT(Table1[[#This Row],[Eelarvekonto]],2)</f>
        <v>50</v>
      </c>
      <c r="E1328" s="42" t="str">
        <f>VLOOKUP(Table1[[#This Row],[Eelarvekonto]],Table5[[Konto]:[Konto nimetus]],2,FALSE)</f>
        <v>Töötasud võlaõiguslike lepingute alusel</v>
      </c>
      <c r="F1328" s="42" t="s">
        <v>139</v>
      </c>
      <c r="G1328" s="42" t="s">
        <v>24</v>
      </c>
      <c r="H1328" s="42"/>
      <c r="I1328" s="42"/>
      <c r="J1328" s="42" t="s">
        <v>218</v>
      </c>
      <c r="K1328" s="42" t="s">
        <v>98</v>
      </c>
      <c r="L1328" s="81" t="s">
        <v>217</v>
      </c>
      <c r="M1328" s="82" t="str">
        <f>LEFT(Table1[[#This Row],[Tegevusala kood]],2)</f>
        <v>08</v>
      </c>
      <c r="N1328" s="53" t="str">
        <f>VLOOKUP(Table1[[#This Row],[Tegevusala kood]],Table4[[Tegevusala kood]:[Tegevusala alanimetus]],2,FALSE)</f>
        <v>Laekvere Rahvamaja</v>
      </c>
      <c r="O1328" s="42"/>
      <c r="P1328" s="42"/>
      <c r="Q1328" s="53" t="str">
        <f>VLOOKUP(Table1[[#This Row],[Eelarvekonto]],Table5[[Konto]:[Kontode alanimetus]],5,FALSE)</f>
        <v>Tööjõukulud</v>
      </c>
      <c r="R1328" s="53" t="str">
        <f>VLOOKUP(Table1[[#This Row],[Tegevusala kood]],Table4[[Tegevusala kood]:[Tegevusala alanimetus]],4,FALSE)</f>
        <v>Rahvakultuur</v>
      </c>
      <c r="S1328" s="53"/>
      <c r="T1328" s="53"/>
      <c r="U1328" s="53">
        <f>Table1[[#This Row],[Summa]]+Table1[[#This Row],[I Muudatus]]+Table1[[#This Row],[II Muudatus]]</f>
        <v>972</v>
      </c>
    </row>
    <row r="1329" spans="1:21" ht="14.25" hidden="1" customHeight="1" x14ac:dyDescent="0.25">
      <c r="A1329" s="42" t="s">
        <v>141</v>
      </c>
      <c r="B1329" s="42">
        <v>13502.57</v>
      </c>
      <c r="C1329" s="53">
        <v>5525</v>
      </c>
      <c r="D1329" s="53" t="str">
        <f>LEFT(Table1[[#This Row],[Eelarvekonto]],2)</f>
        <v>55</v>
      </c>
      <c r="E1329" s="42" t="str">
        <f>VLOOKUP(Table1[[#This Row],[Eelarvekonto]],Table5[[Konto]:[Konto nimetus]],2,FALSE)</f>
        <v>Kommunikatsiooni-, kultuuri- ja vaba aja sisustamise kulud</v>
      </c>
      <c r="F1329" s="42" t="s">
        <v>139</v>
      </c>
      <c r="G1329" s="42" t="s">
        <v>24</v>
      </c>
      <c r="H1329" s="42"/>
      <c r="I1329" s="42"/>
      <c r="J1329" s="42" t="s">
        <v>218</v>
      </c>
      <c r="K1329" s="42" t="s">
        <v>98</v>
      </c>
      <c r="L1329" s="81" t="s">
        <v>217</v>
      </c>
      <c r="M1329" s="82" t="str">
        <f>LEFT(Table1[[#This Row],[Tegevusala kood]],2)</f>
        <v>08</v>
      </c>
      <c r="N1329" s="53" t="str">
        <f>VLOOKUP(Table1[[#This Row],[Tegevusala kood]],Table4[[Tegevusala kood]:[Tegevusala alanimetus]],2,FALSE)</f>
        <v>Laekvere Rahvamaja</v>
      </c>
      <c r="O1329" s="42"/>
      <c r="P1329" s="42"/>
      <c r="Q1329" s="53" t="str">
        <f>VLOOKUP(Table1[[#This Row],[Eelarvekonto]],Table5[[Konto]:[Kontode alanimetus]],5,FALSE)</f>
        <v>Majandamiskulud</v>
      </c>
      <c r="R1329" s="53" t="str">
        <f>VLOOKUP(Table1[[#This Row],[Tegevusala kood]],Table4[[Tegevusala kood]:[Tegevusala alanimetus]],4,FALSE)</f>
        <v>Rahvakultuur</v>
      </c>
      <c r="S1329" s="53"/>
      <c r="T1329" s="53"/>
      <c r="U1329" s="53">
        <f>Table1[[#This Row],[Summa]]+Table1[[#This Row],[I Muudatus]]+Table1[[#This Row],[II Muudatus]]</f>
        <v>13502.57</v>
      </c>
    </row>
    <row r="1330" spans="1:21" ht="14.25" hidden="1" customHeight="1" x14ac:dyDescent="0.25">
      <c r="A1330" s="42" t="s">
        <v>161</v>
      </c>
      <c r="B1330" s="42">
        <v>1000</v>
      </c>
      <c r="C1330" s="53">
        <v>5515</v>
      </c>
      <c r="D1330" s="53" t="str">
        <f>LEFT(Table1[[#This Row],[Eelarvekonto]],2)</f>
        <v>55</v>
      </c>
      <c r="E1330" s="42" t="str">
        <f>VLOOKUP(Table1[[#This Row],[Eelarvekonto]],Table5[[Konto]:[Konto nimetus]],2,FALSE)</f>
        <v>Inventari majandamiskulud</v>
      </c>
      <c r="F1330" s="42" t="s">
        <v>139</v>
      </c>
      <c r="G1330" s="42" t="s">
        <v>24</v>
      </c>
      <c r="H1330" s="42"/>
      <c r="I1330" s="42"/>
      <c r="J1330" s="42" t="s">
        <v>218</v>
      </c>
      <c r="K1330" s="42" t="s">
        <v>98</v>
      </c>
      <c r="L1330" s="81" t="s">
        <v>217</v>
      </c>
      <c r="M1330" s="82" t="str">
        <f>LEFT(Table1[[#This Row],[Tegevusala kood]],2)</f>
        <v>08</v>
      </c>
      <c r="N1330" s="53" t="str">
        <f>VLOOKUP(Table1[[#This Row],[Tegevusala kood]],Table4[[Tegevusala kood]:[Tegevusala alanimetus]],2,FALSE)</f>
        <v>Laekvere Rahvamaja</v>
      </c>
      <c r="O1330" s="42"/>
      <c r="P1330" s="42"/>
      <c r="Q1330" s="53" t="str">
        <f>VLOOKUP(Table1[[#This Row],[Eelarvekonto]],Table5[[Konto]:[Kontode alanimetus]],5,FALSE)</f>
        <v>Majandamiskulud</v>
      </c>
      <c r="R1330" s="53" t="str">
        <f>VLOOKUP(Table1[[#This Row],[Tegevusala kood]],Table4[[Tegevusala kood]:[Tegevusala alanimetus]],4,FALSE)</f>
        <v>Rahvakultuur</v>
      </c>
      <c r="S1330" s="53"/>
      <c r="T1330" s="53"/>
      <c r="U1330" s="53">
        <f>Table1[[#This Row],[Summa]]+Table1[[#This Row],[I Muudatus]]+Table1[[#This Row],[II Muudatus]]</f>
        <v>1000</v>
      </c>
    </row>
    <row r="1331" spans="1:21" ht="14.25" hidden="1" customHeight="1" x14ac:dyDescent="0.25">
      <c r="A1331" s="42" t="s">
        <v>228</v>
      </c>
      <c r="B1331" s="42">
        <v>700</v>
      </c>
      <c r="C1331" s="53">
        <v>5511</v>
      </c>
      <c r="D1331" s="53" t="str">
        <f>LEFT(Table1[[#This Row],[Eelarvekonto]],2)</f>
        <v>55</v>
      </c>
      <c r="E1331" s="42" t="str">
        <f>VLOOKUP(Table1[[#This Row],[Eelarvekonto]],Table5[[Konto]:[Konto nimetus]],2,FALSE)</f>
        <v>Kinnistute, hoonete ja ruumide majandamiskulud</v>
      </c>
      <c r="F1331" s="42" t="s">
        <v>139</v>
      </c>
      <c r="G1331" s="42" t="s">
        <v>24</v>
      </c>
      <c r="H1331" s="42"/>
      <c r="I1331" s="42"/>
      <c r="J1331" s="42" t="s">
        <v>218</v>
      </c>
      <c r="K1331" s="42" t="s">
        <v>98</v>
      </c>
      <c r="L1331" s="81" t="s">
        <v>217</v>
      </c>
      <c r="M1331" s="82" t="str">
        <f>LEFT(Table1[[#This Row],[Tegevusala kood]],2)</f>
        <v>08</v>
      </c>
      <c r="N1331" s="53" t="str">
        <f>VLOOKUP(Table1[[#This Row],[Tegevusala kood]],Table4[[Tegevusala kood]:[Tegevusala alanimetus]],2,FALSE)</f>
        <v>Laekvere Rahvamaja</v>
      </c>
      <c r="O1331" s="42"/>
      <c r="P1331" s="42"/>
      <c r="Q1331" s="53" t="str">
        <f>VLOOKUP(Table1[[#This Row],[Eelarvekonto]],Table5[[Konto]:[Kontode alanimetus]],5,FALSE)</f>
        <v>Majandamiskulud</v>
      </c>
      <c r="R1331" s="53" t="str">
        <f>VLOOKUP(Table1[[#This Row],[Tegevusala kood]],Table4[[Tegevusala kood]:[Tegevusala alanimetus]],4,FALSE)</f>
        <v>Rahvakultuur</v>
      </c>
      <c r="S1331" s="53"/>
      <c r="T1331" s="53"/>
      <c r="U1331" s="53">
        <f>Table1[[#This Row],[Summa]]+Table1[[#This Row],[I Muudatus]]+Table1[[#This Row],[II Muudatus]]</f>
        <v>700</v>
      </c>
    </row>
    <row r="1332" spans="1:21" ht="14.25" hidden="1" customHeight="1" x14ac:dyDescent="0.25">
      <c r="A1332" s="42" t="s">
        <v>222</v>
      </c>
      <c r="B1332" s="42">
        <v>3000</v>
      </c>
      <c r="C1332" s="53">
        <v>5511</v>
      </c>
      <c r="D1332" s="53" t="str">
        <f>LEFT(Table1[[#This Row],[Eelarvekonto]],2)</f>
        <v>55</v>
      </c>
      <c r="E1332" s="42" t="str">
        <f>VLOOKUP(Table1[[#This Row],[Eelarvekonto]],Table5[[Konto]:[Konto nimetus]],2,FALSE)</f>
        <v>Kinnistute, hoonete ja ruumide majandamiskulud</v>
      </c>
      <c r="F1332" s="42" t="s">
        <v>139</v>
      </c>
      <c r="G1332" s="42" t="s">
        <v>24</v>
      </c>
      <c r="H1332" s="42"/>
      <c r="I1332" s="42"/>
      <c r="J1332" s="42" t="s">
        <v>218</v>
      </c>
      <c r="K1332" s="42" t="s">
        <v>98</v>
      </c>
      <c r="L1332" s="81" t="s">
        <v>217</v>
      </c>
      <c r="M1332" s="82" t="str">
        <f>LEFT(Table1[[#This Row],[Tegevusala kood]],2)</f>
        <v>08</v>
      </c>
      <c r="N1332" s="53" t="str">
        <f>VLOOKUP(Table1[[#This Row],[Tegevusala kood]],Table4[[Tegevusala kood]:[Tegevusala alanimetus]],2,FALSE)</f>
        <v>Laekvere Rahvamaja</v>
      </c>
      <c r="O1332" s="42"/>
      <c r="P1332" s="42"/>
      <c r="Q1332" s="53" t="str">
        <f>VLOOKUP(Table1[[#This Row],[Eelarvekonto]],Table5[[Konto]:[Kontode alanimetus]],5,FALSE)</f>
        <v>Majandamiskulud</v>
      </c>
      <c r="R1332" s="53" t="str">
        <f>VLOOKUP(Table1[[#This Row],[Tegevusala kood]],Table4[[Tegevusala kood]:[Tegevusala alanimetus]],4,FALSE)</f>
        <v>Rahvakultuur</v>
      </c>
      <c r="S1332" s="53"/>
      <c r="T1332" s="53"/>
      <c r="U1332" s="53">
        <f>Table1[[#This Row],[Summa]]+Table1[[#This Row],[I Muudatus]]+Table1[[#This Row],[II Muudatus]]</f>
        <v>3000</v>
      </c>
    </row>
    <row r="1333" spans="1:21" ht="14.25" hidden="1" customHeight="1" x14ac:dyDescent="0.25">
      <c r="A1333" s="42" t="s">
        <v>223</v>
      </c>
      <c r="B1333" s="42">
        <v>2000</v>
      </c>
      <c r="C1333" s="53">
        <v>5511</v>
      </c>
      <c r="D1333" s="53" t="str">
        <f>LEFT(Table1[[#This Row],[Eelarvekonto]],2)</f>
        <v>55</v>
      </c>
      <c r="E1333" s="42" t="str">
        <f>VLOOKUP(Table1[[#This Row],[Eelarvekonto]],Table5[[Konto]:[Konto nimetus]],2,FALSE)</f>
        <v>Kinnistute, hoonete ja ruumide majandamiskulud</v>
      </c>
      <c r="F1333" s="42" t="s">
        <v>139</v>
      </c>
      <c r="G1333" s="42" t="s">
        <v>24</v>
      </c>
      <c r="H1333" s="42"/>
      <c r="I1333" s="42"/>
      <c r="J1333" s="42" t="s">
        <v>218</v>
      </c>
      <c r="K1333" s="42" t="s">
        <v>98</v>
      </c>
      <c r="L1333" s="81" t="s">
        <v>217</v>
      </c>
      <c r="M1333" s="82" t="str">
        <f>LEFT(Table1[[#This Row],[Tegevusala kood]],2)</f>
        <v>08</v>
      </c>
      <c r="N1333" s="53" t="str">
        <f>VLOOKUP(Table1[[#This Row],[Tegevusala kood]],Table4[[Tegevusala kood]:[Tegevusala alanimetus]],2,FALSE)</f>
        <v>Laekvere Rahvamaja</v>
      </c>
      <c r="O1333" s="42"/>
      <c r="P1333" s="42"/>
      <c r="Q1333" s="53" t="str">
        <f>VLOOKUP(Table1[[#This Row],[Eelarvekonto]],Table5[[Konto]:[Kontode alanimetus]],5,FALSE)</f>
        <v>Majandamiskulud</v>
      </c>
      <c r="R1333" s="53" t="str">
        <f>VLOOKUP(Table1[[#This Row],[Tegevusala kood]],Table4[[Tegevusala kood]:[Tegevusala alanimetus]],4,FALSE)</f>
        <v>Rahvakultuur</v>
      </c>
      <c r="S1333" s="53"/>
      <c r="T1333" s="53"/>
      <c r="U1333" s="53">
        <f>Table1[[#This Row],[Summa]]+Table1[[#This Row],[I Muudatus]]+Table1[[#This Row],[II Muudatus]]</f>
        <v>2000</v>
      </c>
    </row>
    <row r="1334" spans="1:21" ht="14.25" hidden="1" customHeight="1" x14ac:dyDescent="0.25">
      <c r="A1334" s="42" t="s">
        <v>140</v>
      </c>
      <c r="B1334" s="42">
        <v>600</v>
      </c>
      <c r="C1334" s="53">
        <v>5504</v>
      </c>
      <c r="D1334" s="53" t="str">
        <f>LEFT(Table1[[#This Row],[Eelarvekonto]],2)</f>
        <v>55</v>
      </c>
      <c r="E1334" s="42" t="str">
        <f>VLOOKUP(Table1[[#This Row],[Eelarvekonto]],Table5[[Konto]:[Konto nimetus]],2,FALSE)</f>
        <v>Koolituskulud (sh koolituslähetus)</v>
      </c>
      <c r="F1334" s="42" t="s">
        <v>139</v>
      </c>
      <c r="G1334" s="42" t="s">
        <v>24</v>
      </c>
      <c r="H1334" s="42"/>
      <c r="I1334" s="42"/>
      <c r="J1334" s="42" t="s">
        <v>218</v>
      </c>
      <c r="K1334" s="42" t="s">
        <v>98</v>
      </c>
      <c r="L1334" s="81" t="s">
        <v>217</v>
      </c>
      <c r="M1334" s="82" t="str">
        <f>LEFT(Table1[[#This Row],[Tegevusala kood]],2)</f>
        <v>08</v>
      </c>
      <c r="N1334" s="53" t="str">
        <f>VLOOKUP(Table1[[#This Row],[Tegevusala kood]],Table4[[Tegevusala kood]:[Tegevusala alanimetus]],2,FALSE)</f>
        <v>Laekvere Rahvamaja</v>
      </c>
      <c r="O1334" s="42"/>
      <c r="P1334" s="42"/>
      <c r="Q1334" s="53" t="str">
        <f>VLOOKUP(Table1[[#This Row],[Eelarvekonto]],Table5[[Konto]:[Kontode alanimetus]],5,FALSE)</f>
        <v>Majandamiskulud</v>
      </c>
      <c r="R1334" s="53" t="str">
        <f>VLOOKUP(Table1[[#This Row],[Tegevusala kood]],Table4[[Tegevusala kood]:[Tegevusala alanimetus]],4,FALSE)</f>
        <v>Rahvakultuur</v>
      </c>
      <c r="S1334" s="53"/>
      <c r="T1334" s="53"/>
      <c r="U1334" s="53">
        <f>Table1[[#This Row],[Summa]]+Table1[[#This Row],[I Muudatus]]+Table1[[#This Row],[II Muudatus]]</f>
        <v>600</v>
      </c>
    </row>
    <row r="1335" spans="1:21" ht="14.25" hidden="1" customHeight="1" x14ac:dyDescent="0.25">
      <c r="A1335" s="42" t="s">
        <v>1305</v>
      </c>
      <c r="B1335" s="42">
        <v>300</v>
      </c>
      <c r="C1335" s="53">
        <v>5500</v>
      </c>
      <c r="D1335" s="53" t="str">
        <f>LEFT(Table1[[#This Row],[Eelarvekonto]],2)</f>
        <v>55</v>
      </c>
      <c r="E1335" s="42" t="str">
        <f>VLOOKUP(Table1[[#This Row],[Eelarvekonto]],Table5[[Konto]:[Konto nimetus]],2,FALSE)</f>
        <v>Administreerimiskulud</v>
      </c>
      <c r="F1335" s="42" t="s">
        <v>139</v>
      </c>
      <c r="G1335" s="42" t="s">
        <v>24</v>
      </c>
      <c r="H1335" s="42"/>
      <c r="I1335" s="42"/>
      <c r="J1335" s="42" t="s">
        <v>218</v>
      </c>
      <c r="K1335" s="42" t="s">
        <v>98</v>
      </c>
      <c r="L1335" s="81" t="s">
        <v>217</v>
      </c>
      <c r="M1335" s="82" t="str">
        <f>LEFT(Table1[[#This Row],[Tegevusala kood]],2)</f>
        <v>08</v>
      </c>
      <c r="N1335" s="53" t="str">
        <f>VLOOKUP(Table1[[#This Row],[Tegevusala kood]],Table4[[Tegevusala kood]:[Tegevusala alanimetus]],2,FALSE)</f>
        <v>Laekvere Rahvamaja</v>
      </c>
      <c r="O1335" s="42"/>
      <c r="P1335" s="42"/>
      <c r="Q1335" s="53" t="str">
        <f>VLOOKUP(Table1[[#This Row],[Eelarvekonto]],Table5[[Konto]:[Kontode alanimetus]],5,FALSE)</f>
        <v>Majandamiskulud</v>
      </c>
      <c r="R1335" s="53" t="str">
        <f>VLOOKUP(Table1[[#This Row],[Tegevusala kood]],Table4[[Tegevusala kood]:[Tegevusala alanimetus]],4,FALSE)</f>
        <v>Rahvakultuur</v>
      </c>
      <c r="S1335" s="53"/>
      <c r="T1335" s="53"/>
      <c r="U1335" s="53">
        <f>Table1[[#This Row],[Summa]]+Table1[[#This Row],[I Muudatus]]+Table1[[#This Row],[II Muudatus]]</f>
        <v>300</v>
      </c>
    </row>
    <row r="1336" spans="1:21" ht="14.25" hidden="1" customHeight="1" x14ac:dyDescent="0.25">
      <c r="A1336" s="42" t="s">
        <v>219</v>
      </c>
      <c r="B1336" s="42">
        <v>1500</v>
      </c>
      <c r="C1336" s="53">
        <v>5005</v>
      </c>
      <c r="D1336" s="53" t="str">
        <f>LEFT(Table1[[#This Row],[Eelarvekonto]],2)</f>
        <v>50</v>
      </c>
      <c r="E1336" s="42" t="str">
        <f>VLOOKUP(Table1[[#This Row],[Eelarvekonto]],Table5[[Konto]:[Konto nimetus]],2,FALSE)</f>
        <v>Töötasud võlaõiguslike lepingute alusel</v>
      </c>
      <c r="F1336" s="42" t="s">
        <v>139</v>
      </c>
      <c r="G1336" s="42" t="s">
        <v>24</v>
      </c>
      <c r="H1336" s="42"/>
      <c r="I1336" s="42"/>
      <c r="J1336" s="42" t="s">
        <v>218</v>
      </c>
      <c r="K1336" s="42" t="s">
        <v>98</v>
      </c>
      <c r="L1336" s="81" t="s">
        <v>217</v>
      </c>
      <c r="M1336" s="82" t="str">
        <f>LEFT(Table1[[#This Row],[Tegevusala kood]],2)</f>
        <v>08</v>
      </c>
      <c r="N1336" s="53" t="str">
        <f>VLOOKUP(Table1[[#This Row],[Tegevusala kood]],Table4[[Tegevusala kood]:[Tegevusala alanimetus]],2,FALSE)</f>
        <v>Laekvere Rahvamaja</v>
      </c>
      <c r="O1336" s="42"/>
      <c r="P1336" s="42"/>
      <c r="Q1336" s="53" t="str">
        <f>VLOOKUP(Table1[[#This Row],[Eelarvekonto]],Table5[[Konto]:[Kontode alanimetus]],5,FALSE)</f>
        <v>Tööjõukulud</v>
      </c>
      <c r="R1336" s="53" t="str">
        <f>VLOOKUP(Table1[[#This Row],[Tegevusala kood]],Table4[[Tegevusala kood]:[Tegevusala alanimetus]],4,FALSE)</f>
        <v>Rahvakultuur</v>
      </c>
      <c r="S1336" s="53"/>
      <c r="T1336" s="53"/>
      <c r="U1336" s="53">
        <f>Table1[[#This Row],[Summa]]+Table1[[#This Row],[I Muudatus]]+Table1[[#This Row],[II Muudatus]]</f>
        <v>1500</v>
      </c>
    </row>
    <row r="1337" spans="1:21" ht="14.25" hidden="1" customHeight="1" x14ac:dyDescent="0.25">
      <c r="A1337" s="42" t="s">
        <v>1382</v>
      </c>
      <c r="B1337" s="42">
        <v>2340</v>
      </c>
      <c r="C1337" s="53">
        <v>5005</v>
      </c>
      <c r="D1337" s="53" t="str">
        <f>LEFT(Table1[[#This Row],[Eelarvekonto]],2)</f>
        <v>50</v>
      </c>
      <c r="E1337" s="42" t="str">
        <f>VLOOKUP(Table1[[#This Row],[Eelarvekonto]],Table5[[Konto]:[Konto nimetus]],2,FALSE)</f>
        <v>Töötasud võlaõiguslike lepingute alusel</v>
      </c>
      <c r="F1337" s="42" t="s">
        <v>139</v>
      </c>
      <c r="G1337" s="42" t="s">
        <v>24</v>
      </c>
      <c r="H1337" s="42"/>
      <c r="I1337" s="42"/>
      <c r="J1337" s="42" t="s">
        <v>218</v>
      </c>
      <c r="K1337" s="42" t="s">
        <v>98</v>
      </c>
      <c r="L1337" s="81" t="s">
        <v>217</v>
      </c>
      <c r="M1337" s="82" t="str">
        <f>LEFT(Table1[[#This Row],[Tegevusala kood]],2)</f>
        <v>08</v>
      </c>
      <c r="N1337" s="53" t="str">
        <f>VLOOKUP(Table1[[#This Row],[Tegevusala kood]],Table4[[Tegevusala kood]:[Tegevusala alanimetus]],2,FALSE)</f>
        <v>Laekvere Rahvamaja</v>
      </c>
      <c r="O1337" s="42"/>
      <c r="P1337" s="42"/>
      <c r="Q1337" s="53" t="str">
        <f>VLOOKUP(Table1[[#This Row],[Eelarvekonto]],Table5[[Konto]:[Kontode alanimetus]],5,FALSE)</f>
        <v>Tööjõukulud</v>
      </c>
      <c r="R1337" s="53" t="str">
        <f>VLOOKUP(Table1[[#This Row],[Tegevusala kood]],Table4[[Tegevusala kood]:[Tegevusala alanimetus]],4,FALSE)</f>
        <v>Rahvakultuur</v>
      </c>
      <c r="S1337" s="53"/>
      <c r="T1337" s="53"/>
      <c r="U1337" s="53">
        <f>Table1[[#This Row],[Summa]]+Table1[[#This Row],[I Muudatus]]+Table1[[#This Row],[II Muudatus]]</f>
        <v>2340</v>
      </c>
    </row>
    <row r="1338" spans="1:21" ht="14.25" hidden="1" customHeight="1" x14ac:dyDescent="0.25">
      <c r="A1338" s="42" t="s">
        <v>1383</v>
      </c>
      <c r="B1338" s="42">
        <v>2400</v>
      </c>
      <c r="C1338" s="53">
        <v>5525</v>
      </c>
      <c r="D1338" s="53" t="str">
        <f>LEFT(Table1[[#This Row],[Eelarvekonto]],2)</f>
        <v>55</v>
      </c>
      <c r="E1338" s="42" t="str">
        <f>VLOOKUP(Table1[[#This Row],[Eelarvekonto]],Table5[[Konto]:[Konto nimetus]],2,FALSE)</f>
        <v>Kommunikatsiooni-, kultuuri- ja vaba aja sisustamise kulud</v>
      </c>
      <c r="F1338" s="42" t="s">
        <v>139</v>
      </c>
      <c r="G1338" s="42" t="s">
        <v>24</v>
      </c>
      <c r="H1338" s="42"/>
      <c r="I1338" s="42"/>
      <c r="J1338" s="42" t="s">
        <v>181</v>
      </c>
      <c r="K1338" s="42" t="s">
        <v>179</v>
      </c>
      <c r="L1338" s="81" t="s">
        <v>180</v>
      </c>
      <c r="M1338" s="82" t="str">
        <f>LEFT(Table1[[#This Row],[Tegevusala kood]],2)</f>
        <v>08</v>
      </c>
      <c r="N1338" s="53" t="str">
        <f>VLOOKUP(Table1[[#This Row],[Tegevusala kood]],Table4[[Tegevusala kood]:[Tegevusala alanimetus]],2,FALSE)</f>
        <v>Muuga Spordihoone</v>
      </c>
      <c r="O1338" s="42"/>
      <c r="P1338" s="42"/>
      <c r="Q1338" s="53" t="str">
        <f>VLOOKUP(Table1[[#This Row],[Eelarvekonto]],Table5[[Konto]:[Kontode alanimetus]],5,FALSE)</f>
        <v>Majandamiskulud</v>
      </c>
      <c r="R1338" s="53" t="str">
        <f>VLOOKUP(Table1[[#This Row],[Tegevusala kood]],Table4[[Tegevusala kood]:[Tegevusala alanimetus]],4,FALSE)</f>
        <v>Sport</v>
      </c>
      <c r="S1338" s="53"/>
      <c r="T1338" s="53"/>
      <c r="U1338" s="53">
        <f>Table1[[#This Row],[Summa]]+Table1[[#This Row],[I Muudatus]]+Table1[[#This Row],[II Muudatus]]</f>
        <v>2400</v>
      </c>
    </row>
    <row r="1339" spans="1:21" ht="14.25" hidden="1" customHeight="1" x14ac:dyDescent="0.25">
      <c r="A1339" s="42" t="s">
        <v>1412</v>
      </c>
      <c r="B1339" s="42">
        <v>476.29</v>
      </c>
      <c r="C1339" s="53">
        <v>5511</v>
      </c>
      <c r="D1339" s="53" t="str">
        <f>LEFT(Table1[[#This Row],[Eelarvekonto]],2)</f>
        <v>55</v>
      </c>
      <c r="E1339" s="42" t="str">
        <f>VLOOKUP(Table1[[#This Row],[Eelarvekonto]],Table5[[Konto]:[Konto nimetus]],2,FALSE)</f>
        <v>Kinnistute, hoonete ja ruumide majandamiskulud</v>
      </c>
      <c r="F1339" s="42" t="s">
        <v>139</v>
      </c>
      <c r="G1339" s="42" t="s">
        <v>24</v>
      </c>
      <c r="H1339" s="42"/>
      <c r="I1339" s="42"/>
      <c r="J1339" s="42" t="s">
        <v>181</v>
      </c>
      <c r="K1339" s="42" t="s">
        <v>179</v>
      </c>
      <c r="L1339" s="81" t="s">
        <v>180</v>
      </c>
      <c r="M1339" s="82" t="str">
        <f>LEFT(Table1[[#This Row],[Tegevusala kood]],2)</f>
        <v>08</v>
      </c>
      <c r="N1339" s="53" t="str">
        <f>VLOOKUP(Table1[[#This Row],[Tegevusala kood]],Table4[[Tegevusala kood]:[Tegevusala alanimetus]],2,FALSE)</f>
        <v>Muuga Spordihoone</v>
      </c>
      <c r="O1339" s="42"/>
      <c r="P1339" s="42"/>
      <c r="Q1339" s="53" t="str">
        <f>VLOOKUP(Table1[[#This Row],[Eelarvekonto]],Table5[[Konto]:[Kontode alanimetus]],5,FALSE)</f>
        <v>Majandamiskulud</v>
      </c>
      <c r="R1339" s="53" t="str">
        <f>VLOOKUP(Table1[[#This Row],[Tegevusala kood]],Table4[[Tegevusala kood]:[Tegevusala alanimetus]],4,FALSE)</f>
        <v>Sport</v>
      </c>
      <c r="S1339" s="53"/>
      <c r="T1339" s="53"/>
      <c r="U1339" s="53">
        <f>Table1[[#This Row],[Summa]]+Table1[[#This Row],[I Muudatus]]+Table1[[#This Row],[II Muudatus]]</f>
        <v>476.29</v>
      </c>
    </row>
    <row r="1340" spans="1:21" ht="14.25" hidden="1" customHeight="1" x14ac:dyDescent="0.25">
      <c r="A1340" s="42" t="s">
        <v>183</v>
      </c>
      <c r="B1340" s="42">
        <v>800</v>
      </c>
      <c r="C1340" s="53">
        <v>5515</v>
      </c>
      <c r="D1340" s="53" t="str">
        <f>LEFT(Table1[[#This Row],[Eelarvekonto]],2)</f>
        <v>55</v>
      </c>
      <c r="E1340" s="42" t="str">
        <f>VLOOKUP(Table1[[#This Row],[Eelarvekonto]],Table5[[Konto]:[Konto nimetus]],2,FALSE)</f>
        <v>Inventari majandamiskulud</v>
      </c>
      <c r="F1340" s="42" t="s">
        <v>139</v>
      </c>
      <c r="G1340" s="42" t="s">
        <v>24</v>
      </c>
      <c r="H1340" s="42"/>
      <c r="I1340" s="42"/>
      <c r="J1340" s="42" t="s">
        <v>181</v>
      </c>
      <c r="K1340" s="42" t="s">
        <v>179</v>
      </c>
      <c r="L1340" s="81" t="s">
        <v>180</v>
      </c>
      <c r="M1340" s="82" t="str">
        <f>LEFT(Table1[[#This Row],[Tegevusala kood]],2)</f>
        <v>08</v>
      </c>
      <c r="N1340" s="53" t="str">
        <f>VLOOKUP(Table1[[#This Row],[Tegevusala kood]],Table4[[Tegevusala kood]:[Tegevusala alanimetus]],2,FALSE)</f>
        <v>Muuga Spordihoone</v>
      </c>
      <c r="O1340" s="42"/>
      <c r="P1340" s="42"/>
      <c r="Q1340" s="53" t="str">
        <f>VLOOKUP(Table1[[#This Row],[Eelarvekonto]],Table5[[Konto]:[Kontode alanimetus]],5,FALSE)</f>
        <v>Majandamiskulud</v>
      </c>
      <c r="R1340" s="53" t="str">
        <f>VLOOKUP(Table1[[#This Row],[Tegevusala kood]],Table4[[Tegevusala kood]:[Tegevusala alanimetus]],4,FALSE)</f>
        <v>Sport</v>
      </c>
      <c r="S1340" s="53"/>
      <c r="T1340" s="53"/>
      <c r="U1340" s="53">
        <f>Table1[[#This Row],[Summa]]+Table1[[#This Row],[I Muudatus]]+Table1[[#This Row],[II Muudatus]]</f>
        <v>800</v>
      </c>
    </row>
    <row r="1341" spans="1:21" ht="14.25" hidden="1" customHeight="1" x14ac:dyDescent="0.25">
      <c r="A1341" s="42" t="s">
        <v>182</v>
      </c>
      <c r="B1341" s="42">
        <v>1200</v>
      </c>
      <c r="C1341" s="53">
        <v>5511</v>
      </c>
      <c r="D1341" s="53" t="str">
        <f>LEFT(Table1[[#This Row],[Eelarvekonto]],2)</f>
        <v>55</v>
      </c>
      <c r="E1341" s="42" t="str">
        <f>VLOOKUP(Table1[[#This Row],[Eelarvekonto]],Table5[[Konto]:[Konto nimetus]],2,FALSE)</f>
        <v>Kinnistute, hoonete ja ruumide majandamiskulud</v>
      </c>
      <c r="F1341" s="42" t="s">
        <v>139</v>
      </c>
      <c r="G1341" s="42" t="s">
        <v>24</v>
      </c>
      <c r="H1341" s="42"/>
      <c r="I1341" s="42"/>
      <c r="J1341" s="42" t="s">
        <v>181</v>
      </c>
      <c r="K1341" s="42" t="s">
        <v>179</v>
      </c>
      <c r="L1341" s="81" t="s">
        <v>180</v>
      </c>
      <c r="M1341" s="82" t="str">
        <f>LEFT(Table1[[#This Row],[Tegevusala kood]],2)</f>
        <v>08</v>
      </c>
      <c r="N1341" s="53" t="str">
        <f>VLOOKUP(Table1[[#This Row],[Tegevusala kood]],Table4[[Tegevusala kood]:[Tegevusala alanimetus]],2,FALSE)</f>
        <v>Muuga Spordihoone</v>
      </c>
      <c r="O1341" s="42"/>
      <c r="P1341" s="42"/>
      <c r="Q1341" s="53" t="str">
        <f>VLOOKUP(Table1[[#This Row],[Eelarvekonto]],Table5[[Konto]:[Kontode alanimetus]],5,FALSE)</f>
        <v>Majandamiskulud</v>
      </c>
      <c r="R1341" s="53" t="str">
        <f>VLOOKUP(Table1[[#This Row],[Tegevusala kood]],Table4[[Tegevusala kood]:[Tegevusala alanimetus]],4,FALSE)</f>
        <v>Sport</v>
      </c>
      <c r="S1341" s="53"/>
      <c r="T1341" s="53"/>
      <c r="U1341" s="53">
        <f>Table1[[#This Row],[Summa]]+Table1[[#This Row],[I Muudatus]]+Table1[[#This Row],[II Muudatus]]</f>
        <v>1200</v>
      </c>
    </row>
    <row r="1342" spans="1:21" ht="14.25" hidden="1" customHeight="1" x14ac:dyDescent="0.25">
      <c r="A1342" s="42" t="s">
        <v>1384</v>
      </c>
      <c r="B1342" s="42">
        <v>500</v>
      </c>
      <c r="C1342" s="53">
        <v>5500</v>
      </c>
      <c r="D1342" s="53" t="str">
        <f>LEFT(Table1[[#This Row],[Eelarvekonto]],2)</f>
        <v>55</v>
      </c>
      <c r="E1342" s="42" t="str">
        <f>VLOOKUP(Table1[[#This Row],[Eelarvekonto]],Table5[[Konto]:[Konto nimetus]],2,FALSE)</f>
        <v>Administreerimiskulud</v>
      </c>
      <c r="F1342" s="42" t="s">
        <v>139</v>
      </c>
      <c r="G1342" s="42" t="s">
        <v>24</v>
      </c>
      <c r="H1342" s="42"/>
      <c r="I1342" s="42"/>
      <c r="J1342" s="42" t="s">
        <v>293</v>
      </c>
      <c r="K1342" s="42" t="s">
        <v>291</v>
      </c>
      <c r="L1342" s="81" t="s">
        <v>292</v>
      </c>
      <c r="M1342" s="82" t="str">
        <f>LEFT(Table1[[#This Row],[Tegevusala kood]],2)</f>
        <v>09</v>
      </c>
      <c r="N1342" s="53" t="str">
        <f>VLOOKUP(Table1[[#This Row],[Tegevusala kood]],Table4[[Tegevusala kood]:[Tegevusala alanimetus]],2,FALSE)</f>
        <v>Pajusti Lasteaed Pajustis</v>
      </c>
      <c r="O1342" s="42"/>
      <c r="P1342" s="42"/>
      <c r="Q1342" s="53" t="str">
        <f>VLOOKUP(Table1[[#This Row],[Eelarvekonto]],Table5[[Konto]:[Kontode alanimetus]],5,FALSE)</f>
        <v>Majandamiskulud</v>
      </c>
      <c r="R1342" s="53" t="str">
        <f>VLOOKUP(Table1[[#This Row],[Tegevusala kood]],Table4[[Tegevusala kood]:[Tegevusala alanimetus]],4,FALSE)</f>
        <v>Alusharidus</v>
      </c>
      <c r="S1342" s="53"/>
      <c r="T1342" s="53"/>
      <c r="U1342" s="53">
        <f>Table1[[#This Row],[Summa]]+Table1[[#This Row],[I Muudatus]]+Table1[[#This Row],[II Muudatus]]</f>
        <v>500</v>
      </c>
    </row>
    <row r="1343" spans="1:21" ht="14.25" hidden="1" customHeight="1" x14ac:dyDescent="0.25">
      <c r="A1343" s="42" t="s">
        <v>1385</v>
      </c>
      <c r="B1343" s="42">
        <v>1200</v>
      </c>
      <c r="C1343" s="53">
        <v>5514</v>
      </c>
      <c r="D1343" s="53" t="str">
        <f>LEFT(Table1[[#This Row],[Eelarvekonto]],2)</f>
        <v>55</v>
      </c>
      <c r="E1343" s="42" t="str">
        <f>VLOOKUP(Table1[[#This Row],[Eelarvekonto]],Table5[[Konto]:[Konto nimetus]],2,FALSE)</f>
        <v>Info- ja kommunikatsioonitehnoloogia kulud</v>
      </c>
      <c r="F1343" s="42" t="s">
        <v>139</v>
      </c>
      <c r="G1343" s="42" t="s">
        <v>24</v>
      </c>
      <c r="H1343" s="42"/>
      <c r="I1343" s="42"/>
      <c r="J1343" s="42" t="s">
        <v>293</v>
      </c>
      <c r="K1343" s="42" t="s">
        <v>291</v>
      </c>
      <c r="L1343" s="81" t="s">
        <v>292</v>
      </c>
      <c r="M1343" s="82" t="str">
        <f>LEFT(Table1[[#This Row],[Tegevusala kood]],2)</f>
        <v>09</v>
      </c>
      <c r="N1343" s="53" t="str">
        <f>VLOOKUP(Table1[[#This Row],[Tegevusala kood]],Table4[[Tegevusala kood]:[Tegevusala alanimetus]],2,FALSE)</f>
        <v>Pajusti Lasteaed Pajustis</v>
      </c>
      <c r="O1343" s="42"/>
      <c r="P1343" s="42"/>
      <c r="Q1343" s="53" t="str">
        <f>VLOOKUP(Table1[[#This Row],[Eelarvekonto]],Table5[[Konto]:[Kontode alanimetus]],5,FALSE)</f>
        <v>Majandamiskulud</v>
      </c>
      <c r="R1343" s="53" t="str">
        <f>VLOOKUP(Table1[[#This Row],[Tegevusala kood]],Table4[[Tegevusala kood]:[Tegevusala alanimetus]],4,FALSE)</f>
        <v>Alusharidus</v>
      </c>
      <c r="S1343" s="53"/>
      <c r="T1343" s="53"/>
      <c r="U1343" s="53">
        <f>Table1[[#This Row],[Summa]]+Table1[[#This Row],[I Muudatus]]+Table1[[#This Row],[II Muudatus]]</f>
        <v>1200</v>
      </c>
    </row>
    <row r="1344" spans="1:21" ht="14.25" hidden="1" customHeight="1" x14ac:dyDescent="0.25">
      <c r="A1344" s="42" t="s">
        <v>1386</v>
      </c>
      <c r="B1344" s="42">
        <v>500</v>
      </c>
      <c r="C1344" s="53">
        <v>5515</v>
      </c>
      <c r="D1344" s="53" t="str">
        <f>LEFT(Table1[[#This Row],[Eelarvekonto]],2)</f>
        <v>55</v>
      </c>
      <c r="E1344" s="42" t="str">
        <f>VLOOKUP(Table1[[#This Row],[Eelarvekonto]],Table5[[Konto]:[Konto nimetus]],2,FALSE)</f>
        <v>Inventari majandamiskulud</v>
      </c>
      <c r="F1344" s="42" t="s">
        <v>139</v>
      </c>
      <c r="G1344" s="42" t="s">
        <v>24</v>
      </c>
      <c r="H1344" s="42"/>
      <c r="I1344" s="42"/>
      <c r="J1344" s="42" t="s">
        <v>293</v>
      </c>
      <c r="K1344" s="42" t="s">
        <v>291</v>
      </c>
      <c r="L1344" s="81" t="s">
        <v>292</v>
      </c>
      <c r="M1344" s="82" t="str">
        <f>LEFT(Table1[[#This Row],[Tegevusala kood]],2)</f>
        <v>09</v>
      </c>
      <c r="N1344" s="53" t="str">
        <f>VLOOKUP(Table1[[#This Row],[Tegevusala kood]],Table4[[Tegevusala kood]:[Tegevusala alanimetus]],2,FALSE)</f>
        <v>Pajusti Lasteaed Pajustis</v>
      </c>
      <c r="O1344" s="42"/>
      <c r="P1344" s="42"/>
      <c r="Q1344" s="53" t="str">
        <f>VLOOKUP(Table1[[#This Row],[Eelarvekonto]],Table5[[Konto]:[Kontode alanimetus]],5,FALSE)</f>
        <v>Majandamiskulud</v>
      </c>
      <c r="R1344" s="53" t="str">
        <f>VLOOKUP(Table1[[#This Row],[Tegevusala kood]],Table4[[Tegevusala kood]:[Tegevusala alanimetus]],4,FALSE)</f>
        <v>Alusharidus</v>
      </c>
      <c r="S1344" s="53"/>
      <c r="T1344" s="53"/>
      <c r="U1344" s="53">
        <f>Table1[[#This Row],[Summa]]+Table1[[#This Row],[I Muudatus]]+Table1[[#This Row],[II Muudatus]]</f>
        <v>500</v>
      </c>
    </row>
    <row r="1345" spans="1:21" ht="14.25" hidden="1" customHeight="1" x14ac:dyDescent="0.25">
      <c r="A1345" s="42" t="s">
        <v>1239</v>
      </c>
      <c r="B1345" s="42">
        <v>100</v>
      </c>
      <c r="C1345" s="53">
        <v>5500</v>
      </c>
      <c r="D1345" s="53" t="str">
        <f>LEFT(Table1[[#This Row],[Eelarvekonto]],2)</f>
        <v>55</v>
      </c>
      <c r="E1345" s="42" t="str">
        <f>VLOOKUP(Table1[[#This Row],[Eelarvekonto]],Table5[[Konto]:[Konto nimetus]],2,FALSE)</f>
        <v>Administreerimiskulud</v>
      </c>
      <c r="F1345" s="42" t="s">
        <v>139</v>
      </c>
      <c r="G1345" s="42" t="s">
        <v>24</v>
      </c>
      <c r="H1345" s="42"/>
      <c r="I1345" s="42"/>
      <c r="J1345" s="42" t="s">
        <v>293</v>
      </c>
      <c r="K1345" s="42" t="s">
        <v>291</v>
      </c>
      <c r="L1345" s="81" t="s">
        <v>292</v>
      </c>
      <c r="M1345" s="82" t="str">
        <f>LEFT(Table1[[#This Row],[Tegevusala kood]],2)</f>
        <v>09</v>
      </c>
      <c r="N1345" s="53" t="str">
        <f>VLOOKUP(Table1[[#This Row],[Tegevusala kood]],Table4[[Tegevusala kood]:[Tegevusala alanimetus]],2,FALSE)</f>
        <v>Pajusti Lasteaed Pajustis</v>
      </c>
      <c r="O1345" s="42"/>
      <c r="P1345" s="42"/>
      <c r="Q1345" s="53" t="str">
        <f>VLOOKUP(Table1[[#This Row],[Eelarvekonto]],Table5[[Konto]:[Kontode alanimetus]],5,FALSE)</f>
        <v>Majandamiskulud</v>
      </c>
      <c r="R1345" s="53" t="str">
        <f>VLOOKUP(Table1[[#This Row],[Tegevusala kood]],Table4[[Tegevusala kood]:[Tegevusala alanimetus]],4,FALSE)</f>
        <v>Alusharidus</v>
      </c>
      <c r="S1345" s="53"/>
      <c r="T1345" s="53"/>
      <c r="U1345" s="53">
        <f>Table1[[#This Row],[Summa]]+Table1[[#This Row],[I Muudatus]]+Table1[[#This Row],[II Muudatus]]</f>
        <v>100</v>
      </c>
    </row>
    <row r="1346" spans="1:21" ht="14.25" hidden="1" customHeight="1" x14ac:dyDescent="0.25">
      <c r="A1346" s="42" t="s">
        <v>140</v>
      </c>
      <c r="B1346" s="42">
        <v>400</v>
      </c>
      <c r="C1346" s="53">
        <v>5504</v>
      </c>
      <c r="D1346" s="53" t="str">
        <f>LEFT(Table1[[#This Row],[Eelarvekonto]],2)</f>
        <v>55</v>
      </c>
      <c r="E1346" s="42" t="str">
        <f>VLOOKUP(Table1[[#This Row],[Eelarvekonto]],Table5[[Konto]:[Konto nimetus]],2,FALSE)</f>
        <v>Koolituskulud (sh koolituslähetus)</v>
      </c>
      <c r="F1346" s="42" t="s">
        <v>139</v>
      </c>
      <c r="G1346" s="42" t="s">
        <v>24</v>
      </c>
      <c r="H1346" s="42"/>
      <c r="I1346" s="42"/>
      <c r="J1346" s="42" t="s">
        <v>293</v>
      </c>
      <c r="K1346" s="42" t="s">
        <v>291</v>
      </c>
      <c r="L1346" s="81" t="s">
        <v>292</v>
      </c>
      <c r="M1346" s="82" t="str">
        <f>LEFT(Table1[[#This Row],[Tegevusala kood]],2)</f>
        <v>09</v>
      </c>
      <c r="N1346" s="53" t="str">
        <f>VLOOKUP(Table1[[#This Row],[Tegevusala kood]],Table4[[Tegevusala kood]:[Tegevusala alanimetus]],2,FALSE)</f>
        <v>Pajusti Lasteaed Pajustis</v>
      </c>
      <c r="O1346" s="42"/>
      <c r="P1346" s="42"/>
      <c r="Q1346" s="53" t="str">
        <f>VLOOKUP(Table1[[#This Row],[Eelarvekonto]],Table5[[Konto]:[Kontode alanimetus]],5,FALSE)</f>
        <v>Majandamiskulud</v>
      </c>
      <c r="R1346" s="53" t="str">
        <f>VLOOKUP(Table1[[#This Row],[Tegevusala kood]],Table4[[Tegevusala kood]:[Tegevusala alanimetus]],4,FALSE)</f>
        <v>Alusharidus</v>
      </c>
      <c r="S1346" s="53"/>
      <c r="T1346" s="53"/>
      <c r="U1346" s="53">
        <f>Table1[[#This Row],[Summa]]+Table1[[#This Row],[I Muudatus]]+Table1[[#This Row],[II Muudatus]]</f>
        <v>400</v>
      </c>
    </row>
    <row r="1347" spans="1:21" ht="14.25" hidden="1" customHeight="1" x14ac:dyDescent="0.25">
      <c r="A1347" s="42" t="s">
        <v>271</v>
      </c>
      <c r="B1347" s="42">
        <v>600</v>
      </c>
      <c r="C1347" s="53">
        <v>5511</v>
      </c>
      <c r="D1347" s="53" t="str">
        <f>LEFT(Table1[[#This Row],[Eelarvekonto]],2)</f>
        <v>55</v>
      </c>
      <c r="E1347" s="42" t="str">
        <f>VLOOKUP(Table1[[#This Row],[Eelarvekonto]],Table5[[Konto]:[Konto nimetus]],2,FALSE)</f>
        <v>Kinnistute, hoonete ja ruumide majandamiskulud</v>
      </c>
      <c r="F1347" s="42" t="s">
        <v>139</v>
      </c>
      <c r="G1347" s="42" t="s">
        <v>24</v>
      </c>
      <c r="H1347" s="42"/>
      <c r="I1347" s="42"/>
      <c r="J1347" s="42" t="s">
        <v>293</v>
      </c>
      <c r="K1347" s="42" t="s">
        <v>291</v>
      </c>
      <c r="L1347" s="81" t="s">
        <v>292</v>
      </c>
      <c r="M1347" s="82" t="str">
        <f>LEFT(Table1[[#This Row],[Tegevusala kood]],2)</f>
        <v>09</v>
      </c>
      <c r="N1347" s="53" t="str">
        <f>VLOOKUP(Table1[[#This Row],[Tegevusala kood]],Table4[[Tegevusala kood]:[Tegevusala alanimetus]],2,FALSE)</f>
        <v>Pajusti Lasteaed Pajustis</v>
      </c>
      <c r="O1347" s="42"/>
      <c r="P1347" s="42"/>
      <c r="Q1347" s="53" t="str">
        <f>VLOOKUP(Table1[[#This Row],[Eelarvekonto]],Table5[[Konto]:[Kontode alanimetus]],5,FALSE)</f>
        <v>Majandamiskulud</v>
      </c>
      <c r="R1347" s="53" t="str">
        <f>VLOOKUP(Table1[[#This Row],[Tegevusala kood]],Table4[[Tegevusala kood]:[Tegevusala alanimetus]],4,FALSE)</f>
        <v>Alusharidus</v>
      </c>
      <c r="S1347" s="53"/>
      <c r="T1347" s="53"/>
      <c r="U1347" s="53">
        <f>Table1[[#This Row],[Summa]]+Table1[[#This Row],[I Muudatus]]+Table1[[#This Row],[II Muudatus]]</f>
        <v>600</v>
      </c>
    </row>
    <row r="1348" spans="1:21" ht="14.25" hidden="1" customHeight="1" x14ac:dyDescent="0.25">
      <c r="A1348" s="42" t="s">
        <v>143</v>
      </c>
      <c r="B1348" s="42">
        <v>2500</v>
      </c>
      <c r="C1348" s="53">
        <v>5511</v>
      </c>
      <c r="D1348" s="53" t="str">
        <f>LEFT(Table1[[#This Row],[Eelarvekonto]],2)</f>
        <v>55</v>
      </c>
      <c r="E1348" s="42" t="str">
        <f>VLOOKUP(Table1[[#This Row],[Eelarvekonto]],Table5[[Konto]:[Konto nimetus]],2,FALSE)</f>
        <v>Kinnistute, hoonete ja ruumide majandamiskulud</v>
      </c>
      <c r="F1348" s="42" t="s">
        <v>139</v>
      </c>
      <c r="G1348" s="42" t="s">
        <v>24</v>
      </c>
      <c r="H1348" s="42"/>
      <c r="I1348" s="42"/>
      <c r="J1348" s="42" t="s">
        <v>293</v>
      </c>
      <c r="K1348" s="42" t="s">
        <v>291</v>
      </c>
      <c r="L1348" s="81" t="s">
        <v>292</v>
      </c>
      <c r="M1348" s="82" t="str">
        <f>LEFT(Table1[[#This Row],[Tegevusala kood]],2)</f>
        <v>09</v>
      </c>
      <c r="N1348" s="53" t="str">
        <f>VLOOKUP(Table1[[#This Row],[Tegevusala kood]],Table4[[Tegevusala kood]:[Tegevusala alanimetus]],2,FALSE)</f>
        <v>Pajusti Lasteaed Pajustis</v>
      </c>
      <c r="O1348" s="42"/>
      <c r="P1348" s="42"/>
      <c r="Q1348" s="53" t="str">
        <f>VLOOKUP(Table1[[#This Row],[Eelarvekonto]],Table5[[Konto]:[Kontode alanimetus]],5,FALSE)</f>
        <v>Majandamiskulud</v>
      </c>
      <c r="R1348" s="53" t="str">
        <f>VLOOKUP(Table1[[#This Row],[Tegevusala kood]],Table4[[Tegevusala kood]:[Tegevusala alanimetus]],4,FALSE)</f>
        <v>Alusharidus</v>
      </c>
      <c r="S1348" s="53"/>
      <c r="T1348" s="53"/>
      <c r="U1348" s="53">
        <f>Table1[[#This Row],[Summa]]+Table1[[#This Row],[I Muudatus]]+Table1[[#This Row],[II Muudatus]]</f>
        <v>2500</v>
      </c>
    </row>
    <row r="1349" spans="1:21" ht="14.25" hidden="1" customHeight="1" x14ac:dyDescent="0.25">
      <c r="A1349" s="42" t="s">
        <v>1235</v>
      </c>
      <c r="B1349" s="42">
        <v>60</v>
      </c>
      <c r="C1349" s="53">
        <v>5522</v>
      </c>
      <c r="D1349" s="53" t="str">
        <f>LEFT(Table1[[#This Row],[Eelarvekonto]],2)</f>
        <v>55</v>
      </c>
      <c r="E1349" s="42" t="str">
        <f>VLOOKUP(Table1[[#This Row],[Eelarvekonto]],Table5[[Konto]:[Konto nimetus]],2,FALSE)</f>
        <v>Meditsiinikulud ja hügieenikulud</v>
      </c>
      <c r="F1349" s="42" t="s">
        <v>139</v>
      </c>
      <c r="G1349" s="42" t="s">
        <v>24</v>
      </c>
      <c r="H1349" s="42"/>
      <c r="I1349" s="42"/>
      <c r="J1349" s="42" t="s">
        <v>293</v>
      </c>
      <c r="K1349" s="42" t="s">
        <v>291</v>
      </c>
      <c r="L1349" s="81" t="s">
        <v>292</v>
      </c>
      <c r="M1349" s="82" t="str">
        <f>LEFT(Table1[[#This Row],[Tegevusala kood]],2)</f>
        <v>09</v>
      </c>
      <c r="N1349" s="53" t="str">
        <f>VLOOKUP(Table1[[#This Row],[Tegevusala kood]],Table4[[Tegevusala kood]:[Tegevusala alanimetus]],2,FALSE)</f>
        <v>Pajusti Lasteaed Pajustis</v>
      </c>
      <c r="O1349" s="42"/>
      <c r="P1349" s="42"/>
      <c r="Q1349" s="53" t="str">
        <f>VLOOKUP(Table1[[#This Row],[Eelarvekonto]],Table5[[Konto]:[Kontode alanimetus]],5,FALSE)</f>
        <v>Majandamiskulud</v>
      </c>
      <c r="R1349" s="53" t="str">
        <f>VLOOKUP(Table1[[#This Row],[Tegevusala kood]],Table4[[Tegevusala kood]:[Tegevusala alanimetus]],4,FALSE)</f>
        <v>Alusharidus</v>
      </c>
      <c r="S1349" s="53"/>
      <c r="T1349" s="53"/>
      <c r="U1349" s="53">
        <f>Table1[[#This Row],[Summa]]+Table1[[#This Row],[I Muudatus]]+Table1[[#This Row],[II Muudatus]]</f>
        <v>60</v>
      </c>
    </row>
    <row r="1350" spans="1:21" ht="14.25" hidden="1" customHeight="1" x14ac:dyDescent="0.25">
      <c r="A1350" s="42" t="s">
        <v>1387</v>
      </c>
      <c r="B1350" s="42">
        <v>850</v>
      </c>
      <c r="C1350" s="53">
        <v>5525</v>
      </c>
      <c r="D1350" s="53" t="str">
        <f>LEFT(Table1[[#This Row],[Eelarvekonto]],2)</f>
        <v>55</v>
      </c>
      <c r="E1350" s="42" t="str">
        <f>VLOOKUP(Table1[[#This Row],[Eelarvekonto]],Table5[[Konto]:[Konto nimetus]],2,FALSE)</f>
        <v>Kommunikatsiooni-, kultuuri- ja vaba aja sisustamise kulud</v>
      </c>
      <c r="F1350" s="42" t="s">
        <v>139</v>
      </c>
      <c r="G1350" s="42" t="s">
        <v>24</v>
      </c>
      <c r="H1350" s="42"/>
      <c r="I1350" s="42"/>
      <c r="J1350" s="42" t="s">
        <v>293</v>
      </c>
      <c r="K1350" s="42" t="s">
        <v>291</v>
      </c>
      <c r="L1350" s="81" t="s">
        <v>292</v>
      </c>
      <c r="M1350" s="82" t="str">
        <f>LEFT(Table1[[#This Row],[Tegevusala kood]],2)</f>
        <v>09</v>
      </c>
      <c r="N1350" s="53" t="str">
        <f>VLOOKUP(Table1[[#This Row],[Tegevusala kood]],Table4[[Tegevusala kood]:[Tegevusala alanimetus]],2,FALSE)</f>
        <v>Pajusti Lasteaed Pajustis</v>
      </c>
      <c r="O1350" s="42"/>
      <c r="P1350" s="42"/>
      <c r="Q1350" s="53" t="str">
        <f>VLOOKUP(Table1[[#This Row],[Eelarvekonto]],Table5[[Konto]:[Kontode alanimetus]],5,FALSE)</f>
        <v>Majandamiskulud</v>
      </c>
      <c r="R1350" s="53" t="str">
        <f>VLOOKUP(Table1[[#This Row],[Tegevusala kood]],Table4[[Tegevusala kood]:[Tegevusala alanimetus]],4,FALSE)</f>
        <v>Alusharidus</v>
      </c>
      <c r="S1350" s="53"/>
      <c r="T1350" s="53"/>
      <c r="U1350" s="53">
        <f>Table1[[#This Row],[Summa]]+Table1[[#This Row],[I Muudatus]]+Table1[[#This Row],[II Muudatus]]</f>
        <v>850</v>
      </c>
    </row>
    <row r="1351" spans="1:21" ht="14.25" hidden="1" customHeight="1" x14ac:dyDescent="0.25">
      <c r="A1351" s="42" t="s">
        <v>141</v>
      </c>
      <c r="B1351" s="42">
        <v>600</v>
      </c>
      <c r="C1351" s="53">
        <v>5525</v>
      </c>
      <c r="D1351" s="53" t="str">
        <f>LEFT(Table1[[#This Row],[Eelarvekonto]],2)</f>
        <v>55</v>
      </c>
      <c r="E1351" s="42" t="str">
        <f>VLOOKUP(Table1[[#This Row],[Eelarvekonto]],Table5[[Konto]:[Konto nimetus]],2,FALSE)</f>
        <v>Kommunikatsiooni-, kultuuri- ja vaba aja sisustamise kulud</v>
      </c>
      <c r="F1351" s="42" t="s">
        <v>139</v>
      </c>
      <c r="G1351" s="42" t="s">
        <v>24</v>
      </c>
      <c r="H1351" s="42"/>
      <c r="I1351" s="42"/>
      <c r="J1351" s="42" t="s">
        <v>293</v>
      </c>
      <c r="K1351" s="42" t="s">
        <v>291</v>
      </c>
      <c r="L1351" s="81" t="s">
        <v>292</v>
      </c>
      <c r="M1351" s="82" t="str">
        <f>LEFT(Table1[[#This Row],[Tegevusala kood]],2)</f>
        <v>09</v>
      </c>
      <c r="N1351" s="53" t="str">
        <f>VLOOKUP(Table1[[#This Row],[Tegevusala kood]],Table4[[Tegevusala kood]:[Tegevusala alanimetus]],2,FALSE)</f>
        <v>Pajusti Lasteaed Pajustis</v>
      </c>
      <c r="O1351" s="42"/>
      <c r="P1351" s="42"/>
      <c r="Q1351" s="53" t="str">
        <f>VLOOKUP(Table1[[#This Row],[Eelarvekonto]],Table5[[Konto]:[Kontode alanimetus]],5,FALSE)</f>
        <v>Majandamiskulud</v>
      </c>
      <c r="R1351" s="53" t="str">
        <f>VLOOKUP(Table1[[#This Row],[Tegevusala kood]],Table4[[Tegevusala kood]:[Tegevusala alanimetus]],4,FALSE)</f>
        <v>Alusharidus</v>
      </c>
      <c r="S1351" s="53"/>
      <c r="T1351" s="53"/>
      <c r="U1351" s="53">
        <f>Table1[[#This Row],[Summa]]+Table1[[#This Row],[I Muudatus]]+Table1[[#This Row],[II Muudatus]]</f>
        <v>600</v>
      </c>
    </row>
    <row r="1352" spans="1:21" ht="14.25" hidden="1" customHeight="1" x14ac:dyDescent="0.25">
      <c r="A1352" s="42" t="s">
        <v>221</v>
      </c>
      <c r="B1352" s="42">
        <v>500</v>
      </c>
      <c r="C1352" s="53">
        <v>5500</v>
      </c>
      <c r="D1352" s="53" t="str">
        <f>LEFT(Table1[[#This Row],[Eelarvekonto]],2)</f>
        <v>55</v>
      </c>
      <c r="E1352" s="42" t="str">
        <f>VLOOKUP(Table1[[#This Row],[Eelarvekonto]],Table5[[Konto]:[Konto nimetus]],2,FALSE)</f>
        <v>Administreerimiskulud</v>
      </c>
      <c r="F1352" s="42" t="s">
        <v>139</v>
      </c>
      <c r="G1352" s="42" t="s">
        <v>24</v>
      </c>
      <c r="H1352" s="42"/>
      <c r="I1352" s="42"/>
      <c r="J1352" s="42" t="s">
        <v>293</v>
      </c>
      <c r="K1352" s="42" t="s">
        <v>291</v>
      </c>
      <c r="L1352" s="81" t="s">
        <v>292</v>
      </c>
      <c r="M1352" s="82" t="str">
        <f>LEFT(Table1[[#This Row],[Tegevusala kood]],2)</f>
        <v>09</v>
      </c>
      <c r="N1352" s="53" t="str">
        <f>VLOOKUP(Table1[[#This Row],[Tegevusala kood]],Table4[[Tegevusala kood]:[Tegevusala alanimetus]],2,FALSE)</f>
        <v>Pajusti Lasteaed Pajustis</v>
      </c>
      <c r="O1352" s="42"/>
      <c r="P1352" s="42"/>
      <c r="Q1352" s="53" t="str">
        <f>VLOOKUP(Table1[[#This Row],[Eelarvekonto]],Table5[[Konto]:[Kontode alanimetus]],5,FALSE)</f>
        <v>Majandamiskulud</v>
      </c>
      <c r="R1352" s="53" t="str">
        <f>VLOOKUP(Table1[[#This Row],[Tegevusala kood]],Table4[[Tegevusala kood]:[Tegevusala alanimetus]],4,FALSE)</f>
        <v>Alusharidus</v>
      </c>
      <c r="S1352" s="53"/>
      <c r="T1352" s="53"/>
      <c r="U1352" s="53">
        <f>Table1[[#This Row],[Summa]]+Table1[[#This Row],[I Muudatus]]+Table1[[#This Row],[II Muudatus]]</f>
        <v>500</v>
      </c>
    </row>
    <row r="1353" spans="1:21" ht="14.25" hidden="1" customHeight="1" x14ac:dyDescent="0.25">
      <c r="A1353" s="42" t="s">
        <v>1388</v>
      </c>
      <c r="B1353" s="42">
        <v>950</v>
      </c>
      <c r="C1353" s="53">
        <v>5500</v>
      </c>
      <c r="D1353" s="53" t="str">
        <f>LEFT(Table1[[#This Row],[Eelarvekonto]],2)</f>
        <v>55</v>
      </c>
      <c r="E1353" s="42" t="str">
        <f>VLOOKUP(Table1[[#This Row],[Eelarvekonto]],Table5[[Konto]:[Konto nimetus]],2,FALSE)</f>
        <v>Administreerimiskulud</v>
      </c>
      <c r="F1353" s="42" t="s">
        <v>139</v>
      </c>
      <c r="G1353" s="42" t="s">
        <v>24</v>
      </c>
      <c r="H1353" s="42"/>
      <c r="I1353" s="42"/>
      <c r="J1353" s="42" t="s">
        <v>293</v>
      </c>
      <c r="K1353" s="42" t="s">
        <v>291</v>
      </c>
      <c r="L1353" s="81" t="s">
        <v>292</v>
      </c>
      <c r="M1353" s="82" t="str">
        <f>LEFT(Table1[[#This Row],[Tegevusala kood]],2)</f>
        <v>09</v>
      </c>
      <c r="N1353" s="53" t="str">
        <f>VLOOKUP(Table1[[#This Row],[Tegevusala kood]],Table4[[Tegevusala kood]:[Tegevusala alanimetus]],2,FALSE)</f>
        <v>Pajusti Lasteaed Pajustis</v>
      </c>
      <c r="O1353" s="42"/>
      <c r="P1353" s="42"/>
      <c r="Q1353" s="53" t="str">
        <f>VLOOKUP(Table1[[#This Row],[Eelarvekonto]],Table5[[Konto]:[Kontode alanimetus]],5,FALSE)</f>
        <v>Majandamiskulud</v>
      </c>
      <c r="R1353" s="53" t="str">
        <f>VLOOKUP(Table1[[#This Row],[Tegevusala kood]],Table4[[Tegevusala kood]:[Tegevusala alanimetus]],4,FALSE)</f>
        <v>Alusharidus</v>
      </c>
      <c r="S1353" s="53"/>
      <c r="T1353" s="53"/>
      <c r="U1353" s="53">
        <f>Table1[[#This Row],[Summa]]+Table1[[#This Row],[I Muudatus]]+Table1[[#This Row],[II Muudatus]]</f>
        <v>950</v>
      </c>
    </row>
    <row r="1354" spans="1:21" ht="14.25" hidden="1" customHeight="1" x14ac:dyDescent="0.25">
      <c r="A1354" s="42" t="s">
        <v>151</v>
      </c>
      <c r="B1354" s="42">
        <v>100</v>
      </c>
      <c r="C1354" s="53">
        <v>5522</v>
      </c>
      <c r="D1354" s="53" t="str">
        <f>LEFT(Table1[[#This Row],[Eelarvekonto]],2)</f>
        <v>55</v>
      </c>
      <c r="E1354" s="42" t="str">
        <f>VLOOKUP(Table1[[#This Row],[Eelarvekonto]],Table5[[Konto]:[Konto nimetus]],2,FALSE)</f>
        <v>Meditsiinikulud ja hügieenikulud</v>
      </c>
      <c r="F1354" s="42" t="s">
        <v>139</v>
      </c>
      <c r="G1354" s="42" t="s">
        <v>24</v>
      </c>
      <c r="H1354" s="42"/>
      <c r="I1354" s="42"/>
      <c r="J1354" s="42" t="s">
        <v>293</v>
      </c>
      <c r="K1354" s="42" t="s">
        <v>291</v>
      </c>
      <c r="L1354" s="81" t="s">
        <v>292</v>
      </c>
      <c r="M1354" s="82" t="str">
        <f>LEFT(Table1[[#This Row],[Tegevusala kood]],2)</f>
        <v>09</v>
      </c>
      <c r="N1354" s="53" t="str">
        <f>VLOOKUP(Table1[[#This Row],[Tegevusala kood]],Table4[[Tegevusala kood]:[Tegevusala alanimetus]],2,FALSE)</f>
        <v>Pajusti Lasteaed Pajustis</v>
      </c>
      <c r="O1354" s="42"/>
      <c r="P1354" s="42"/>
      <c r="Q1354" s="53" t="str">
        <f>VLOOKUP(Table1[[#This Row],[Eelarvekonto]],Table5[[Konto]:[Kontode alanimetus]],5,FALSE)</f>
        <v>Majandamiskulud</v>
      </c>
      <c r="R1354" s="53" t="str">
        <f>VLOOKUP(Table1[[#This Row],[Tegevusala kood]],Table4[[Tegevusala kood]:[Tegevusala alanimetus]],4,FALSE)</f>
        <v>Alusharidus</v>
      </c>
      <c r="S1354" s="53"/>
      <c r="T1354" s="53"/>
      <c r="U1354" s="53">
        <f>Table1[[#This Row],[Summa]]+Table1[[#This Row],[I Muudatus]]+Table1[[#This Row],[II Muudatus]]</f>
        <v>100</v>
      </c>
    </row>
    <row r="1355" spans="1:21" ht="14.25" hidden="1" customHeight="1" x14ac:dyDescent="0.25">
      <c r="A1355" s="42" t="s">
        <v>828</v>
      </c>
      <c r="B1355" s="42">
        <v>4800</v>
      </c>
      <c r="C1355" s="53">
        <v>5524</v>
      </c>
      <c r="D1355" s="53" t="str">
        <f>LEFT(Table1[[#This Row],[Eelarvekonto]],2)</f>
        <v>55</v>
      </c>
      <c r="E1355" s="42" t="str">
        <f>VLOOKUP(Table1[[#This Row],[Eelarvekonto]],Table5[[Konto]:[Konto nimetus]],2,FALSE)</f>
        <v>Õppevahendite ja koolituse kulud</v>
      </c>
      <c r="F1355" s="42" t="s">
        <v>139</v>
      </c>
      <c r="G1355" s="42" t="s">
        <v>24</v>
      </c>
      <c r="H1355" s="42"/>
      <c r="I1355" s="42"/>
      <c r="J1355" s="42" t="s">
        <v>293</v>
      </c>
      <c r="K1355" s="42" t="s">
        <v>291</v>
      </c>
      <c r="L1355" s="81" t="s">
        <v>292</v>
      </c>
      <c r="M1355" s="82" t="str">
        <f>LEFT(Table1[[#This Row],[Tegevusala kood]],2)</f>
        <v>09</v>
      </c>
      <c r="N1355" s="53" t="str">
        <f>VLOOKUP(Table1[[#This Row],[Tegevusala kood]],Table4[[Tegevusala kood]:[Tegevusala alanimetus]],2,FALSE)</f>
        <v>Pajusti Lasteaed Pajustis</v>
      </c>
      <c r="O1355" s="42"/>
      <c r="P1355" s="42"/>
      <c r="Q1355" s="53" t="str">
        <f>VLOOKUP(Table1[[#This Row],[Eelarvekonto]],Table5[[Konto]:[Kontode alanimetus]],5,FALSE)</f>
        <v>Majandamiskulud</v>
      </c>
      <c r="R1355" s="53" t="str">
        <f>VLOOKUP(Table1[[#This Row],[Tegevusala kood]],Table4[[Tegevusala kood]:[Tegevusala alanimetus]],4,FALSE)</f>
        <v>Alusharidus</v>
      </c>
      <c r="S1355" s="53"/>
      <c r="T1355" s="53"/>
      <c r="U1355" s="53">
        <f>Table1[[#This Row],[Summa]]+Table1[[#This Row],[I Muudatus]]+Table1[[#This Row],[II Muudatus]]</f>
        <v>4800</v>
      </c>
    </row>
    <row r="1356" spans="1:21" ht="14.25" hidden="1" customHeight="1" x14ac:dyDescent="0.25">
      <c r="A1356" s="42" t="s">
        <v>160</v>
      </c>
      <c r="B1356" s="42">
        <v>2500</v>
      </c>
      <c r="C1356" s="53">
        <v>5521</v>
      </c>
      <c r="D1356" s="53" t="str">
        <f>LEFT(Table1[[#This Row],[Eelarvekonto]],2)</f>
        <v>55</v>
      </c>
      <c r="E1356" s="42" t="str">
        <f>VLOOKUP(Table1[[#This Row],[Eelarvekonto]],Table5[[Konto]:[Konto nimetus]],2,FALSE)</f>
        <v>Toiduained ja toitlustusteenused</v>
      </c>
      <c r="F1356" s="42" t="s">
        <v>139</v>
      </c>
      <c r="G1356" s="42" t="s">
        <v>24</v>
      </c>
      <c r="H1356" s="42"/>
      <c r="I1356" s="42"/>
      <c r="J1356" s="42" t="s">
        <v>264</v>
      </c>
      <c r="K1356" s="42" t="s">
        <v>263</v>
      </c>
      <c r="L1356" s="81" t="s">
        <v>262</v>
      </c>
      <c r="M1356" s="82" t="str">
        <f>LEFT(Table1[[#This Row],[Tegevusala kood]],2)</f>
        <v>09</v>
      </c>
      <c r="N1356" s="53" t="str">
        <f>VLOOKUP(Table1[[#This Row],[Tegevusala kood]],Table4[[Tegevusala kood]:[Tegevusala alanimetus]],2,FALSE)</f>
        <v>Roela Õpilaskodu</v>
      </c>
      <c r="O1356" s="42"/>
      <c r="P1356" s="42"/>
      <c r="Q1356" s="53" t="str">
        <f>VLOOKUP(Table1[[#This Row],[Eelarvekonto]],Table5[[Konto]:[Kontode alanimetus]],5,FALSE)</f>
        <v>Majandamiskulud</v>
      </c>
      <c r="R1356" s="53" t="str">
        <f>VLOOKUP(Table1[[#This Row],[Tegevusala kood]],Table4[[Tegevusala kood]:[Tegevusala alanimetus]],4,FALSE)</f>
        <v>Öömaja</v>
      </c>
      <c r="S1356" s="53"/>
      <c r="T1356" s="53"/>
      <c r="U1356" s="53">
        <f>Table1[[#This Row],[Summa]]+Table1[[#This Row],[I Muudatus]]+Table1[[#This Row],[II Muudatus]]</f>
        <v>2500</v>
      </c>
    </row>
    <row r="1357" spans="1:21" ht="14.25" hidden="1" customHeight="1" x14ac:dyDescent="0.25">
      <c r="A1357" s="42" t="s">
        <v>828</v>
      </c>
      <c r="B1357" s="42">
        <v>300</v>
      </c>
      <c r="C1357" s="53">
        <v>5524</v>
      </c>
      <c r="D1357" s="53" t="str">
        <f>LEFT(Table1[[#This Row],[Eelarvekonto]],2)</f>
        <v>55</v>
      </c>
      <c r="E1357" s="42" t="str">
        <f>VLOOKUP(Table1[[#This Row],[Eelarvekonto]],Table5[[Konto]:[Konto nimetus]],2,FALSE)</f>
        <v>Õppevahendite ja koolituse kulud</v>
      </c>
      <c r="F1357" s="42" t="s">
        <v>139</v>
      </c>
      <c r="G1357" s="42" t="s">
        <v>24</v>
      </c>
      <c r="H1357" s="42"/>
      <c r="I1357" s="42"/>
      <c r="J1357" s="42" t="s">
        <v>264</v>
      </c>
      <c r="K1357" s="42" t="s">
        <v>263</v>
      </c>
      <c r="L1357" s="81" t="s">
        <v>262</v>
      </c>
      <c r="M1357" s="82" t="str">
        <f>LEFT(Table1[[#This Row],[Tegevusala kood]],2)</f>
        <v>09</v>
      </c>
      <c r="N1357" s="53" t="str">
        <f>VLOOKUP(Table1[[#This Row],[Tegevusala kood]],Table4[[Tegevusala kood]:[Tegevusala alanimetus]],2,FALSE)</f>
        <v>Roela Õpilaskodu</v>
      </c>
      <c r="O1357" s="42"/>
      <c r="P1357" s="42"/>
      <c r="Q1357" s="53" t="str">
        <f>VLOOKUP(Table1[[#This Row],[Eelarvekonto]],Table5[[Konto]:[Kontode alanimetus]],5,FALSE)</f>
        <v>Majandamiskulud</v>
      </c>
      <c r="R1357" s="53" t="str">
        <f>VLOOKUP(Table1[[#This Row],[Tegevusala kood]],Table4[[Tegevusala kood]:[Tegevusala alanimetus]],4,FALSE)</f>
        <v>Öömaja</v>
      </c>
      <c r="S1357" s="53"/>
      <c r="T1357" s="53"/>
      <c r="U1357" s="53">
        <f>Table1[[#This Row],[Summa]]+Table1[[#This Row],[I Muudatus]]+Table1[[#This Row],[II Muudatus]]</f>
        <v>300</v>
      </c>
    </row>
    <row r="1358" spans="1:21" ht="14.25" hidden="1" customHeight="1" x14ac:dyDescent="0.25">
      <c r="A1358" s="42" t="s">
        <v>1389</v>
      </c>
      <c r="B1358" s="42">
        <v>354.72</v>
      </c>
      <c r="C1358" s="53">
        <v>5525</v>
      </c>
      <c r="D1358" s="53" t="str">
        <f>LEFT(Table1[[#This Row],[Eelarvekonto]],2)</f>
        <v>55</v>
      </c>
      <c r="E1358" s="42" t="str">
        <f>VLOOKUP(Table1[[#This Row],[Eelarvekonto]],Table5[[Konto]:[Konto nimetus]],2,FALSE)</f>
        <v>Kommunikatsiooni-, kultuuri- ja vaba aja sisustamise kulud</v>
      </c>
      <c r="F1358" s="42" t="s">
        <v>139</v>
      </c>
      <c r="G1358" s="42" t="s">
        <v>24</v>
      </c>
      <c r="H1358" s="42"/>
      <c r="I1358" s="42"/>
      <c r="J1358" s="42" t="s">
        <v>264</v>
      </c>
      <c r="K1358" s="42" t="s">
        <v>263</v>
      </c>
      <c r="L1358" s="81" t="s">
        <v>262</v>
      </c>
      <c r="M1358" s="82" t="str">
        <f>LEFT(Table1[[#This Row],[Tegevusala kood]],2)</f>
        <v>09</v>
      </c>
      <c r="N1358" s="53" t="str">
        <f>VLOOKUP(Table1[[#This Row],[Tegevusala kood]],Table4[[Tegevusala kood]:[Tegevusala alanimetus]],2,FALSE)</f>
        <v>Roela Õpilaskodu</v>
      </c>
      <c r="O1358" s="42"/>
      <c r="P1358" s="42"/>
      <c r="Q1358" s="53" t="str">
        <f>VLOOKUP(Table1[[#This Row],[Eelarvekonto]],Table5[[Konto]:[Kontode alanimetus]],5,FALSE)</f>
        <v>Majandamiskulud</v>
      </c>
      <c r="R1358" s="53" t="str">
        <f>VLOOKUP(Table1[[#This Row],[Tegevusala kood]],Table4[[Tegevusala kood]:[Tegevusala alanimetus]],4,FALSE)</f>
        <v>Öömaja</v>
      </c>
      <c r="S1358" s="53"/>
      <c r="T1358" s="53"/>
      <c r="U1358" s="53">
        <f>Table1[[#This Row],[Summa]]+Table1[[#This Row],[I Muudatus]]+Table1[[#This Row],[II Muudatus]]</f>
        <v>354.72</v>
      </c>
    </row>
    <row r="1359" spans="1:21" ht="14.25" hidden="1" customHeight="1" x14ac:dyDescent="0.25">
      <c r="A1359" s="42" t="s">
        <v>151</v>
      </c>
      <c r="B1359" s="42">
        <v>300</v>
      </c>
      <c r="C1359" s="53">
        <v>5522</v>
      </c>
      <c r="D1359" s="53" t="str">
        <f>LEFT(Table1[[#This Row],[Eelarvekonto]],2)</f>
        <v>55</v>
      </c>
      <c r="E1359" s="42" t="str">
        <f>VLOOKUP(Table1[[#This Row],[Eelarvekonto]],Table5[[Konto]:[Konto nimetus]],2,FALSE)</f>
        <v>Meditsiinikulud ja hügieenikulud</v>
      </c>
      <c r="F1359" s="42" t="s">
        <v>139</v>
      </c>
      <c r="G1359" s="42" t="s">
        <v>24</v>
      </c>
      <c r="H1359" s="42"/>
      <c r="I1359" s="42"/>
      <c r="J1359" s="42" t="s">
        <v>264</v>
      </c>
      <c r="K1359" s="42" t="s">
        <v>263</v>
      </c>
      <c r="L1359" s="81" t="s">
        <v>262</v>
      </c>
      <c r="M1359" s="82" t="str">
        <f>LEFT(Table1[[#This Row],[Tegevusala kood]],2)</f>
        <v>09</v>
      </c>
      <c r="N1359" s="53" t="str">
        <f>VLOOKUP(Table1[[#This Row],[Tegevusala kood]],Table4[[Tegevusala kood]:[Tegevusala alanimetus]],2,FALSE)</f>
        <v>Roela Õpilaskodu</v>
      </c>
      <c r="O1359" s="42"/>
      <c r="P1359" s="42"/>
      <c r="Q1359" s="53" t="str">
        <f>VLOOKUP(Table1[[#This Row],[Eelarvekonto]],Table5[[Konto]:[Kontode alanimetus]],5,FALSE)</f>
        <v>Majandamiskulud</v>
      </c>
      <c r="R1359" s="53" t="str">
        <f>VLOOKUP(Table1[[#This Row],[Tegevusala kood]],Table4[[Tegevusala kood]:[Tegevusala alanimetus]],4,FALSE)</f>
        <v>Öömaja</v>
      </c>
      <c r="S1359" s="53"/>
      <c r="T1359" s="53"/>
      <c r="U1359" s="53">
        <f>Table1[[#This Row],[Summa]]+Table1[[#This Row],[I Muudatus]]+Table1[[#This Row],[II Muudatus]]</f>
        <v>300</v>
      </c>
    </row>
    <row r="1360" spans="1:21" ht="14.25" hidden="1" customHeight="1" x14ac:dyDescent="0.25">
      <c r="A1360" s="42" t="s">
        <v>143</v>
      </c>
      <c r="B1360" s="42">
        <v>400</v>
      </c>
      <c r="C1360" s="53">
        <v>5511</v>
      </c>
      <c r="D1360" s="53" t="str">
        <f>LEFT(Table1[[#This Row],[Eelarvekonto]],2)</f>
        <v>55</v>
      </c>
      <c r="E1360" s="42" t="str">
        <f>VLOOKUP(Table1[[#This Row],[Eelarvekonto]],Table5[[Konto]:[Konto nimetus]],2,FALSE)</f>
        <v>Kinnistute, hoonete ja ruumide majandamiskulud</v>
      </c>
      <c r="F1360" s="42" t="s">
        <v>139</v>
      </c>
      <c r="G1360" s="42" t="s">
        <v>24</v>
      </c>
      <c r="H1360" s="42"/>
      <c r="I1360" s="42"/>
      <c r="J1360" s="42" t="s">
        <v>264</v>
      </c>
      <c r="K1360" s="42" t="s">
        <v>263</v>
      </c>
      <c r="L1360" s="81" t="s">
        <v>262</v>
      </c>
      <c r="M1360" s="82" t="str">
        <f>LEFT(Table1[[#This Row],[Tegevusala kood]],2)</f>
        <v>09</v>
      </c>
      <c r="N1360" s="53" t="str">
        <f>VLOOKUP(Table1[[#This Row],[Tegevusala kood]],Table4[[Tegevusala kood]:[Tegevusala alanimetus]],2,FALSE)</f>
        <v>Roela Õpilaskodu</v>
      </c>
      <c r="O1360" s="42"/>
      <c r="P1360" s="42"/>
      <c r="Q1360" s="53" t="str">
        <f>VLOOKUP(Table1[[#This Row],[Eelarvekonto]],Table5[[Konto]:[Kontode alanimetus]],5,FALSE)</f>
        <v>Majandamiskulud</v>
      </c>
      <c r="R1360" s="53" t="str">
        <f>VLOOKUP(Table1[[#This Row],[Tegevusala kood]],Table4[[Tegevusala kood]:[Tegevusala alanimetus]],4,FALSE)</f>
        <v>Öömaja</v>
      </c>
      <c r="S1360" s="53"/>
      <c r="T1360" s="53"/>
      <c r="U1360" s="53">
        <f>Table1[[#This Row],[Summa]]+Table1[[#This Row],[I Muudatus]]+Table1[[#This Row],[II Muudatus]]</f>
        <v>400</v>
      </c>
    </row>
    <row r="1361" spans="1:21" ht="14.25" hidden="1" customHeight="1" x14ac:dyDescent="0.25">
      <c r="A1361" s="42" t="s">
        <v>227</v>
      </c>
      <c r="B1361" s="42">
        <v>600</v>
      </c>
      <c r="C1361" s="53">
        <v>5500</v>
      </c>
      <c r="D1361" s="53" t="str">
        <f>LEFT(Table1[[#This Row],[Eelarvekonto]],2)</f>
        <v>55</v>
      </c>
      <c r="E1361" s="42" t="str">
        <f>VLOOKUP(Table1[[#This Row],[Eelarvekonto]],Table5[[Konto]:[Konto nimetus]],2,FALSE)</f>
        <v>Administreerimiskulud</v>
      </c>
      <c r="F1361" s="42" t="s">
        <v>139</v>
      </c>
      <c r="G1361" s="42" t="s">
        <v>24</v>
      </c>
      <c r="H1361" s="42"/>
      <c r="I1361" s="42"/>
      <c r="J1361" s="42" t="s">
        <v>264</v>
      </c>
      <c r="K1361" s="42" t="s">
        <v>263</v>
      </c>
      <c r="L1361" s="81" t="s">
        <v>262</v>
      </c>
      <c r="M1361" s="82" t="str">
        <f>LEFT(Table1[[#This Row],[Tegevusala kood]],2)</f>
        <v>09</v>
      </c>
      <c r="N1361" s="53" t="str">
        <f>VLOOKUP(Table1[[#This Row],[Tegevusala kood]],Table4[[Tegevusala kood]:[Tegevusala alanimetus]],2,FALSE)</f>
        <v>Roela Õpilaskodu</v>
      </c>
      <c r="O1361" s="42"/>
      <c r="P1361" s="42"/>
      <c r="Q1361" s="53" t="str">
        <f>VLOOKUP(Table1[[#This Row],[Eelarvekonto]],Table5[[Konto]:[Kontode alanimetus]],5,FALSE)</f>
        <v>Majandamiskulud</v>
      </c>
      <c r="R1361" s="53" t="str">
        <f>VLOOKUP(Table1[[#This Row],[Tegevusala kood]],Table4[[Tegevusala kood]:[Tegevusala alanimetus]],4,FALSE)</f>
        <v>Öömaja</v>
      </c>
      <c r="S1361" s="53"/>
      <c r="T1361" s="53"/>
      <c r="U1361" s="53">
        <f>Table1[[#This Row],[Summa]]+Table1[[#This Row],[I Muudatus]]+Table1[[#This Row],[II Muudatus]]</f>
        <v>600</v>
      </c>
    </row>
    <row r="1362" spans="1:21" ht="14.25" hidden="1" customHeight="1" x14ac:dyDescent="0.25">
      <c r="A1362" s="42" t="s">
        <v>1390</v>
      </c>
      <c r="B1362" s="42">
        <v>100</v>
      </c>
      <c r="C1362" s="53">
        <v>5500</v>
      </c>
      <c r="D1362" s="53" t="str">
        <f>LEFT(Table1[[#This Row],[Eelarvekonto]],2)</f>
        <v>55</v>
      </c>
      <c r="E1362" s="42" t="str">
        <f>VLOOKUP(Table1[[#This Row],[Eelarvekonto]],Table5[[Konto]:[Konto nimetus]],2,FALSE)</f>
        <v>Administreerimiskulud</v>
      </c>
      <c r="F1362" s="42" t="s">
        <v>139</v>
      </c>
      <c r="G1362" s="42" t="s">
        <v>24</v>
      </c>
      <c r="H1362" s="42"/>
      <c r="I1362" s="42"/>
      <c r="J1362" s="42" t="s">
        <v>264</v>
      </c>
      <c r="K1362" s="42" t="s">
        <v>263</v>
      </c>
      <c r="L1362" s="81" t="s">
        <v>262</v>
      </c>
      <c r="M1362" s="82" t="str">
        <f>LEFT(Table1[[#This Row],[Tegevusala kood]],2)</f>
        <v>09</v>
      </c>
      <c r="N1362" s="53" t="str">
        <f>VLOOKUP(Table1[[#This Row],[Tegevusala kood]],Table4[[Tegevusala kood]:[Tegevusala alanimetus]],2,FALSE)</f>
        <v>Roela Õpilaskodu</v>
      </c>
      <c r="O1362" s="42"/>
      <c r="P1362" s="42"/>
      <c r="Q1362" s="53" t="str">
        <f>VLOOKUP(Table1[[#This Row],[Eelarvekonto]],Table5[[Konto]:[Kontode alanimetus]],5,FALSE)</f>
        <v>Majandamiskulud</v>
      </c>
      <c r="R1362" s="53" t="str">
        <f>VLOOKUP(Table1[[#This Row],[Tegevusala kood]],Table4[[Tegevusala kood]:[Tegevusala alanimetus]],4,FALSE)</f>
        <v>Öömaja</v>
      </c>
      <c r="S1362" s="53"/>
      <c r="T1362" s="53"/>
      <c r="U1362" s="53">
        <f>Table1[[#This Row],[Summa]]+Table1[[#This Row],[I Muudatus]]+Table1[[#This Row],[II Muudatus]]</f>
        <v>100</v>
      </c>
    </row>
    <row r="1363" spans="1:21" ht="14.25" hidden="1" customHeight="1" x14ac:dyDescent="0.25">
      <c r="A1363" s="42" t="s">
        <v>429</v>
      </c>
      <c r="B1363" s="42">
        <v>1000</v>
      </c>
      <c r="C1363" s="53">
        <v>5540</v>
      </c>
      <c r="D1363" s="53" t="str">
        <f>LEFT(Table1[[#This Row],[Eelarvekonto]],2)</f>
        <v>55</v>
      </c>
      <c r="E1363" s="42" t="str">
        <f>VLOOKUP(Table1[[#This Row],[Eelarvekonto]],Table5[[Konto]:[Konto nimetus]],2,FALSE)</f>
        <v>Mitmesugused majanduskulud</v>
      </c>
      <c r="F1363" s="42" t="s">
        <v>139</v>
      </c>
      <c r="G1363" s="42" t="s">
        <v>24</v>
      </c>
      <c r="H1363" s="42"/>
      <c r="I1363" s="42"/>
      <c r="J1363" s="42" t="s">
        <v>427</v>
      </c>
      <c r="K1363" s="42" t="s">
        <v>426</v>
      </c>
      <c r="L1363" s="81" t="s">
        <v>425</v>
      </c>
      <c r="M1363" s="82" t="str">
        <f>LEFT(Table1[[#This Row],[Tegevusala kood]],2)</f>
        <v>04</v>
      </c>
      <c r="N1363" s="53" t="str">
        <f>VLOOKUP(Table1[[#This Row],[Tegevusala kood]],Table4[[Tegevusala kood]:[Tegevusala alanimetus]],2,FALSE)</f>
        <v>Side</v>
      </c>
      <c r="O1363" s="42"/>
      <c r="P1363" s="42"/>
      <c r="Q1363" s="53" t="str">
        <f>VLOOKUP(Table1[[#This Row],[Eelarvekonto]],Table5[[Konto]:[Kontode alanimetus]],5,FALSE)</f>
        <v>Majandamiskulud</v>
      </c>
      <c r="R1363" s="53" t="str">
        <f>VLOOKUP(Table1[[#This Row],[Tegevusala kood]],Table4[[Tegevusala kood]:[Tegevusala alanimetus]],4,FALSE)</f>
        <v>Side</v>
      </c>
      <c r="S1363" s="53"/>
      <c r="T1363" s="53"/>
      <c r="U1363" s="53">
        <f>Table1[[#This Row],[Summa]]+Table1[[#This Row],[I Muudatus]]+Table1[[#This Row],[II Muudatus]]</f>
        <v>1000</v>
      </c>
    </row>
    <row r="1364" spans="1:21" ht="14.25" hidden="1" customHeight="1" x14ac:dyDescent="0.25">
      <c r="A1364" s="42" t="s">
        <v>428</v>
      </c>
      <c r="B1364" s="42">
        <v>3000</v>
      </c>
      <c r="C1364" s="53">
        <v>5514</v>
      </c>
      <c r="D1364" s="53" t="str">
        <f>LEFT(Table1[[#This Row],[Eelarvekonto]],2)</f>
        <v>55</v>
      </c>
      <c r="E1364" s="42" t="str">
        <f>VLOOKUP(Table1[[#This Row],[Eelarvekonto]],Table5[[Konto]:[Konto nimetus]],2,FALSE)</f>
        <v>Info- ja kommunikatsioonitehnoloogia kulud</v>
      </c>
      <c r="F1364" s="42" t="s">
        <v>139</v>
      </c>
      <c r="G1364" s="42" t="s">
        <v>24</v>
      </c>
      <c r="H1364" s="42"/>
      <c r="I1364" s="42"/>
      <c r="J1364" s="42" t="s">
        <v>427</v>
      </c>
      <c r="K1364" s="42" t="s">
        <v>426</v>
      </c>
      <c r="L1364" s="81" t="s">
        <v>425</v>
      </c>
      <c r="M1364" s="82" t="str">
        <f>LEFT(Table1[[#This Row],[Tegevusala kood]],2)</f>
        <v>04</v>
      </c>
      <c r="N1364" s="53" t="str">
        <f>VLOOKUP(Table1[[#This Row],[Tegevusala kood]],Table4[[Tegevusala kood]:[Tegevusala alanimetus]],2,FALSE)</f>
        <v>Side</v>
      </c>
      <c r="O1364" s="42"/>
      <c r="P1364" s="42"/>
      <c r="Q1364" s="53" t="str">
        <f>VLOOKUP(Table1[[#This Row],[Eelarvekonto]],Table5[[Konto]:[Kontode alanimetus]],5,FALSE)</f>
        <v>Majandamiskulud</v>
      </c>
      <c r="R1364" s="53" t="str">
        <f>VLOOKUP(Table1[[#This Row],[Tegevusala kood]],Table4[[Tegevusala kood]:[Tegevusala alanimetus]],4,FALSE)</f>
        <v>Side</v>
      </c>
      <c r="S1364" s="53"/>
      <c r="T1364" s="53"/>
      <c r="U1364" s="53">
        <f>Table1[[#This Row],[Summa]]+Table1[[#This Row],[I Muudatus]]+Table1[[#This Row],[II Muudatus]]</f>
        <v>3000</v>
      </c>
    </row>
    <row r="1365" spans="1:21" ht="14.25" hidden="1" customHeight="1" x14ac:dyDescent="0.25">
      <c r="A1365" s="42" t="s">
        <v>1391</v>
      </c>
      <c r="B1365" s="42">
        <v>200</v>
      </c>
      <c r="C1365" s="53">
        <v>5511</v>
      </c>
      <c r="D1365" s="53" t="str">
        <f>LEFT(Table1[[#This Row],[Eelarvekonto]],2)</f>
        <v>55</v>
      </c>
      <c r="E1365" s="42" t="str">
        <f>VLOOKUP(Table1[[#This Row],[Eelarvekonto]],Table5[[Konto]:[Konto nimetus]],2,FALSE)</f>
        <v>Kinnistute, hoonete ja ruumide majandamiskulud</v>
      </c>
      <c r="F1365" s="42" t="s">
        <v>139</v>
      </c>
      <c r="G1365" s="42" t="s">
        <v>24</v>
      </c>
      <c r="H1365" s="42"/>
      <c r="I1365" s="42"/>
      <c r="J1365" s="42" t="s">
        <v>427</v>
      </c>
      <c r="K1365" s="42" t="s">
        <v>426</v>
      </c>
      <c r="L1365" s="81" t="s">
        <v>425</v>
      </c>
      <c r="M1365" s="82" t="str">
        <f>LEFT(Table1[[#This Row],[Tegevusala kood]],2)</f>
        <v>04</v>
      </c>
      <c r="N1365" s="53" t="str">
        <f>VLOOKUP(Table1[[#This Row],[Tegevusala kood]],Table4[[Tegevusala kood]:[Tegevusala alanimetus]],2,FALSE)</f>
        <v>Side</v>
      </c>
      <c r="O1365" s="42"/>
      <c r="P1365" s="42"/>
      <c r="Q1365" s="53" t="str">
        <f>VLOOKUP(Table1[[#This Row],[Eelarvekonto]],Table5[[Konto]:[Kontode alanimetus]],5,FALSE)</f>
        <v>Majandamiskulud</v>
      </c>
      <c r="R1365" s="53" t="str">
        <f>VLOOKUP(Table1[[#This Row],[Tegevusala kood]],Table4[[Tegevusala kood]:[Tegevusala alanimetus]],4,FALSE)</f>
        <v>Side</v>
      </c>
      <c r="S1365" s="53"/>
      <c r="T1365" s="53"/>
      <c r="U1365" s="53">
        <f>Table1[[#This Row],[Summa]]+Table1[[#This Row],[I Muudatus]]+Table1[[#This Row],[II Muudatus]]</f>
        <v>200</v>
      </c>
    </row>
    <row r="1366" spans="1:21" ht="14.25" hidden="1" customHeight="1" x14ac:dyDescent="0.25">
      <c r="A1366" s="42" t="s">
        <v>1392</v>
      </c>
      <c r="B1366" s="42">
        <v>3500</v>
      </c>
      <c r="C1366" s="53">
        <v>5511</v>
      </c>
      <c r="D1366" s="53" t="str">
        <f>LEFT(Table1[[#This Row],[Eelarvekonto]],2)</f>
        <v>55</v>
      </c>
      <c r="E1366" s="42" t="str">
        <f>VLOOKUP(Table1[[#This Row],[Eelarvekonto]],Table5[[Konto]:[Konto nimetus]],2,FALSE)</f>
        <v>Kinnistute, hoonete ja ruumide majandamiskulud</v>
      </c>
      <c r="F1366" s="42" t="s">
        <v>139</v>
      </c>
      <c r="G1366" s="42" t="s">
        <v>24</v>
      </c>
      <c r="H1366" s="42"/>
      <c r="I1366" s="42"/>
      <c r="J1366" s="42" t="s">
        <v>427</v>
      </c>
      <c r="K1366" s="42" t="s">
        <v>426</v>
      </c>
      <c r="L1366" s="81" t="s">
        <v>425</v>
      </c>
      <c r="M1366" s="82" t="str">
        <f>LEFT(Table1[[#This Row],[Tegevusala kood]],2)</f>
        <v>04</v>
      </c>
      <c r="N1366" s="53" t="str">
        <f>VLOOKUP(Table1[[#This Row],[Tegevusala kood]],Table4[[Tegevusala kood]:[Tegevusala alanimetus]],2,FALSE)</f>
        <v>Side</v>
      </c>
      <c r="O1366" s="42"/>
      <c r="P1366" s="42"/>
      <c r="Q1366" s="53" t="str">
        <f>VLOOKUP(Table1[[#This Row],[Eelarvekonto]],Table5[[Konto]:[Kontode alanimetus]],5,FALSE)</f>
        <v>Majandamiskulud</v>
      </c>
      <c r="R1366" s="53" t="str">
        <f>VLOOKUP(Table1[[#This Row],[Tegevusala kood]],Table4[[Tegevusala kood]:[Tegevusala alanimetus]],4,FALSE)</f>
        <v>Side</v>
      </c>
      <c r="S1366" s="53"/>
      <c r="T1366" s="53"/>
      <c r="U1366" s="53">
        <f>Table1[[#This Row],[Summa]]+Table1[[#This Row],[I Muudatus]]+Table1[[#This Row],[II Muudatus]]</f>
        <v>3500</v>
      </c>
    </row>
    <row r="1367" spans="1:21" ht="14.25" hidden="1" customHeight="1" x14ac:dyDescent="0.25">
      <c r="A1367" s="42" t="s">
        <v>1393</v>
      </c>
      <c r="B1367" s="42">
        <v>4000</v>
      </c>
      <c r="C1367" s="53">
        <v>5514</v>
      </c>
      <c r="D1367" s="53" t="str">
        <f>LEFT(Table1[[#This Row],[Eelarvekonto]],2)</f>
        <v>55</v>
      </c>
      <c r="E1367" s="42" t="str">
        <f>VLOOKUP(Table1[[#This Row],[Eelarvekonto]],Table5[[Konto]:[Konto nimetus]],2,FALSE)</f>
        <v>Info- ja kommunikatsioonitehnoloogia kulud</v>
      </c>
      <c r="F1367" s="42" t="s">
        <v>139</v>
      </c>
      <c r="G1367" s="42" t="s">
        <v>24</v>
      </c>
      <c r="H1367" s="42"/>
      <c r="I1367" s="42"/>
      <c r="J1367" s="42" t="s">
        <v>427</v>
      </c>
      <c r="K1367" s="42" t="s">
        <v>426</v>
      </c>
      <c r="L1367" s="81" t="s">
        <v>425</v>
      </c>
      <c r="M1367" s="82" t="str">
        <f>LEFT(Table1[[#This Row],[Tegevusala kood]],2)</f>
        <v>04</v>
      </c>
      <c r="N1367" s="53" t="str">
        <f>VLOOKUP(Table1[[#This Row],[Tegevusala kood]],Table4[[Tegevusala kood]:[Tegevusala alanimetus]],2,FALSE)</f>
        <v>Side</v>
      </c>
      <c r="O1367" s="42"/>
      <c r="P1367" s="42"/>
      <c r="Q1367" s="53" t="str">
        <f>VLOOKUP(Table1[[#This Row],[Eelarvekonto]],Table5[[Konto]:[Kontode alanimetus]],5,FALSE)</f>
        <v>Majandamiskulud</v>
      </c>
      <c r="R1367" s="53" t="str">
        <f>VLOOKUP(Table1[[#This Row],[Tegevusala kood]],Table4[[Tegevusala kood]:[Tegevusala alanimetus]],4,FALSE)</f>
        <v>Side</v>
      </c>
      <c r="S1367" s="53"/>
      <c r="T1367" s="53"/>
      <c r="U1367" s="53">
        <f>Table1[[#This Row],[Summa]]+Table1[[#This Row],[I Muudatus]]+Table1[[#This Row],[II Muudatus]]</f>
        <v>4000</v>
      </c>
    </row>
    <row r="1368" spans="1:21" ht="14.25" hidden="1" customHeight="1" x14ac:dyDescent="0.25">
      <c r="A1368" s="42" t="s">
        <v>1396</v>
      </c>
      <c r="B1368" s="42">
        <v>87398.355754857985</v>
      </c>
      <c r="C1368" s="42">
        <v>5002</v>
      </c>
      <c r="D1368" s="53" t="str">
        <f>LEFT(Table1[[#This Row],[Eelarvekonto]],2)</f>
        <v>50</v>
      </c>
      <c r="E1368" s="42" t="str">
        <f>VLOOKUP(Table1[[#This Row],[Eelarvekonto]],Table5[[Konto]:[Konto nimetus]],2,FALSE)</f>
        <v>Töötajate töötasud</v>
      </c>
      <c r="F1368" s="98" t="s">
        <v>139</v>
      </c>
      <c r="G1368" s="42" t="s">
        <v>24</v>
      </c>
      <c r="H1368" s="42"/>
      <c r="I1368" s="42"/>
      <c r="J1368" s="98" t="s">
        <v>342</v>
      </c>
      <c r="K1368" s="42" t="s">
        <v>341</v>
      </c>
      <c r="L1368" s="103" t="s">
        <v>499</v>
      </c>
      <c r="M1368" s="82" t="str">
        <f>LEFT(Table1[[#This Row],[Tegevusala kood]],2)</f>
        <v>09</v>
      </c>
      <c r="N1368" s="53" t="str">
        <f>VLOOKUP(Table1[[#This Row],[Tegevusala kood]],Table4[[Tegevusala kood]:[Tegevusala alanimetus]],2,FALSE)</f>
        <v>Vinni-Pajusti Gümnaasium - gümnaasiumi osa</v>
      </c>
      <c r="O1368" s="98" t="s">
        <v>498</v>
      </c>
      <c r="P1368" s="42" t="s">
        <v>1397</v>
      </c>
      <c r="Q1368" s="53" t="str">
        <f>VLOOKUP(Table1[[#This Row],[Eelarvekonto]],Table5[[Konto]:[Kontode alanimetus]],5,FALSE)</f>
        <v>Tööjõukulud</v>
      </c>
      <c r="R1368" s="53" t="str">
        <f>VLOOKUP(Table1[[#This Row],[Tegevusala kood]],Table4[[Tegevusala kood]:[Tegevusala alanimetus]],4,FALSE)</f>
        <v>Üldkeskhariduse otsekulud</v>
      </c>
      <c r="S1368" s="53"/>
      <c r="T1368" s="53"/>
      <c r="U1368" s="53">
        <f>Table1[[#This Row],[Summa]]+Table1[[#This Row],[I Muudatus]]+Table1[[#This Row],[II Muudatus]]</f>
        <v>87398.355754857985</v>
      </c>
    </row>
    <row r="1369" spans="1:21" ht="14.25" hidden="1" customHeight="1" x14ac:dyDescent="0.25">
      <c r="A1369" s="42" t="s">
        <v>158</v>
      </c>
      <c r="B1369" s="42">
        <v>29540.644245142001</v>
      </c>
      <c r="C1369" s="42">
        <v>506</v>
      </c>
      <c r="D1369" s="53" t="str">
        <f>LEFT(Table1[[#This Row],[Eelarvekonto]],2)</f>
        <v>50</v>
      </c>
      <c r="E1369" s="42" t="str">
        <f>VLOOKUP(Table1[[#This Row],[Eelarvekonto]],Table5[[Konto]:[Konto nimetus]],2,FALSE)</f>
        <v>Tööjõukuludega kaasnevad maksud ja sotsiaalkindlustusmaksed</v>
      </c>
      <c r="F1369" s="98" t="s">
        <v>139</v>
      </c>
      <c r="G1369" s="42" t="s">
        <v>24</v>
      </c>
      <c r="H1369" s="42"/>
      <c r="I1369" s="42"/>
      <c r="J1369" s="98" t="s">
        <v>342</v>
      </c>
      <c r="K1369" s="42" t="s">
        <v>341</v>
      </c>
      <c r="L1369" s="103" t="s">
        <v>499</v>
      </c>
      <c r="M1369" s="82" t="str">
        <f>LEFT(Table1[[#This Row],[Tegevusala kood]],2)</f>
        <v>09</v>
      </c>
      <c r="N1369" s="53" t="str">
        <f>VLOOKUP(Table1[[#This Row],[Tegevusala kood]],Table4[[Tegevusala kood]:[Tegevusala alanimetus]],2,FALSE)</f>
        <v>Vinni-Pajusti Gümnaasium - gümnaasiumi osa</v>
      </c>
      <c r="O1369" s="98" t="s">
        <v>498</v>
      </c>
      <c r="P1369" s="42" t="s">
        <v>1397</v>
      </c>
      <c r="Q1369" s="53" t="str">
        <f>VLOOKUP(Table1[[#This Row],[Eelarvekonto]],Table5[[Konto]:[Kontode alanimetus]],5,FALSE)</f>
        <v>Tööjõukulud</v>
      </c>
      <c r="R1369" s="53" t="str">
        <f>VLOOKUP(Table1[[#This Row],[Tegevusala kood]],Table4[[Tegevusala kood]:[Tegevusala alanimetus]],4,FALSE)</f>
        <v>Üldkeskhariduse otsekulud</v>
      </c>
      <c r="S1369" s="53"/>
      <c r="T1369" s="53"/>
      <c r="U1369" s="53">
        <f>Table1[[#This Row],[Summa]]+Table1[[#This Row],[I Muudatus]]+Table1[[#This Row],[II Muudatus]]</f>
        <v>29540.644245142001</v>
      </c>
    </row>
    <row r="1370" spans="1:21" ht="14.25" hidden="1" customHeight="1" x14ac:dyDescent="0.25">
      <c r="A1370" s="42" t="s">
        <v>1460</v>
      </c>
      <c r="B1370" s="42">
        <v>912</v>
      </c>
      <c r="C1370" s="42">
        <v>5002</v>
      </c>
      <c r="D1370" s="53" t="str">
        <f>LEFT(Table1[[#This Row],[Eelarvekonto]],2)</f>
        <v>50</v>
      </c>
      <c r="E1370" s="42" t="str">
        <f>VLOOKUP(Table1[[#This Row],[Eelarvekonto]],Table5[[Konto]:[Konto nimetus]],2,FALSE)</f>
        <v>Töötajate töötasud</v>
      </c>
      <c r="F1370" s="98" t="s">
        <v>139</v>
      </c>
      <c r="G1370" s="42" t="s">
        <v>24</v>
      </c>
      <c r="H1370" s="42"/>
      <c r="I1370" s="42"/>
      <c r="J1370" s="42" t="s">
        <v>280</v>
      </c>
      <c r="K1370" s="42" t="s">
        <v>109</v>
      </c>
      <c r="L1370" s="62" t="s">
        <v>279</v>
      </c>
      <c r="M1370" s="100" t="str">
        <f>LEFT(Table1[[#This Row],[Tegevusala kood]],2)</f>
        <v>09</v>
      </c>
      <c r="N1370" s="53" t="str">
        <f>VLOOKUP(Table1[[#This Row],[Tegevusala kood]],Table4[[Tegevusala kood]:[Tegevusala alanimetus]],2,FALSE)</f>
        <v>Laekvere Kool</v>
      </c>
      <c r="O1370" s="42"/>
      <c r="P1370" s="42"/>
      <c r="Q1370" s="53" t="str">
        <f>VLOOKUP(Table1[[#This Row],[Eelarvekonto]],Table5[[Konto]:[Kontode alanimetus]],5,FALSE)</f>
        <v>Tööjõukulud</v>
      </c>
      <c r="R1370" s="53" t="str">
        <f>VLOOKUP(Table1[[#This Row],[Tegevusala kood]],Table4[[Tegevusala kood]:[Tegevusala alanimetus]],4,FALSE)</f>
        <v>Põhihariduse otsekulud</v>
      </c>
      <c r="S1370" s="53"/>
      <c r="T1370" s="53"/>
      <c r="U1370" s="53">
        <f>Table1[[#This Row],[Summa]]+Table1[[#This Row],[I Muudatus]]+Table1[[#This Row],[II Muudatus]]</f>
        <v>912</v>
      </c>
    </row>
    <row r="1371" spans="1:21" ht="14.25" hidden="1" customHeight="1" x14ac:dyDescent="0.25">
      <c r="A1371" s="42" t="s">
        <v>1461</v>
      </c>
      <c r="B1371" s="42">
        <v>811.2</v>
      </c>
      <c r="C1371" s="42">
        <v>506</v>
      </c>
      <c r="D1371" s="53" t="str">
        <f>LEFT(Table1[[#This Row],[Eelarvekonto]],2)</f>
        <v>50</v>
      </c>
      <c r="E1371" s="42" t="str">
        <f>VLOOKUP(Table1[[#This Row],[Eelarvekonto]],Table5[[Konto]:[Konto nimetus]],2,FALSE)</f>
        <v>Tööjõukuludega kaasnevad maksud ja sotsiaalkindlustusmaksed</v>
      </c>
      <c r="F1371" s="98" t="s">
        <v>139</v>
      </c>
      <c r="G1371" s="42" t="s">
        <v>24</v>
      </c>
      <c r="H1371" s="42"/>
      <c r="I1371" s="42"/>
      <c r="J1371" s="42" t="s">
        <v>306</v>
      </c>
      <c r="K1371" s="42" t="s">
        <v>304</v>
      </c>
      <c r="L1371" s="62" t="s">
        <v>305</v>
      </c>
      <c r="M1371" s="100" t="str">
        <f>LEFT(Table1[[#This Row],[Tegevusala kood]],2)</f>
        <v>09</v>
      </c>
      <c r="N1371" s="53" t="str">
        <f>VLOOKUP(Table1[[#This Row],[Tegevusala kood]],Table4[[Tegevusala kood]:[Tegevusala alanimetus]],2,FALSE)</f>
        <v>Vinni Lasteaed</v>
      </c>
      <c r="O1371" s="42"/>
      <c r="P1371" s="42"/>
      <c r="Q1371" s="53" t="str">
        <f>VLOOKUP(Table1[[#This Row],[Eelarvekonto]],Table5[[Konto]:[Kontode alanimetus]],5,FALSE)</f>
        <v>Tööjõukulud</v>
      </c>
      <c r="R1371" s="53" t="str">
        <f>VLOOKUP(Table1[[#This Row],[Tegevusala kood]],Table4[[Tegevusala kood]:[Tegevusala alanimetus]],4,FALSE)</f>
        <v>Alusharidus</v>
      </c>
      <c r="S1371" s="53"/>
      <c r="T1371" s="53"/>
      <c r="U1371" s="53">
        <f>Table1[[#This Row],[Summa]]+Table1[[#This Row],[I Muudatus]]+Table1[[#This Row],[II Muudatus]]</f>
        <v>811.2</v>
      </c>
    </row>
    <row r="1372" spans="1:21" ht="14.25" hidden="1" customHeight="1" x14ac:dyDescent="0.25">
      <c r="A1372" s="42" t="s">
        <v>1477</v>
      </c>
      <c r="B1372" s="42">
        <v>2376</v>
      </c>
      <c r="C1372" s="42">
        <v>5002</v>
      </c>
      <c r="D1372" s="53" t="str">
        <f>LEFT(Table1[[#This Row],[Eelarvekonto]],2)</f>
        <v>50</v>
      </c>
      <c r="E1372" s="42" t="str">
        <f>VLOOKUP(Table1[[#This Row],[Eelarvekonto]],Table5[[Konto]:[Konto nimetus]],2,FALSE)</f>
        <v>Töötajate töötasud</v>
      </c>
      <c r="F1372" s="98" t="s">
        <v>139</v>
      </c>
      <c r="G1372" s="42" t="s">
        <v>24</v>
      </c>
      <c r="H1372" s="42"/>
      <c r="I1372" s="42"/>
      <c r="J1372" s="42" t="s">
        <v>306</v>
      </c>
      <c r="K1372" s="42" t="s">
        <v>304</v>
      </c>
      <c r="L1372" s="62" t="s">
        <v>305</v>
      </c>
      <c r="M1372" s="100" t="str">
        <f>LEFT(Table1[[#This Row],[Tegevusala kood]],2)</f>
        <v>09</v>
      </c>
      <c r="N1372" s="53" t="str">
        <f>VLOOKUP(Table1[[#This Row],[Tegevusala kood]],Table4[[Tegevusala kood]:[Tegevusala alanimetus]],2,FALSE)</f>
        <v>Vinni Lasteaed</v>
      </c>
      <c r="O1372" s="42"/>
      <c r="P1372" s="42"/>
      <c r="Q1372" s="53" t="str">
        <f>VLOOKUP(Table1[[#This Row],[Eelarvekonto]],Table5[[Konto]:[Kontode alanimetus]],5,FALSE)</f>
        <v>Tööjõukulud</v>
      </c>
      <c r="R1372" s="53" t="str">
        <f>VLOOKUP(Table1[[#This Row],[Tegevusala kood]],Table4[[Tegevusala kood]:[Tegevusala alanimetus]],4,FALSE)</f>
        <v>Alusharidus</v>
      </c>
      <c r="S1372" s="53"/>
      <c r="T1372" s="53"/>
      <c r="U1372" s="53">
        <f>Table1[[#This Row],[Summa]]+Table1[[#This Row],[I Muudatus]]+Table1[[#This Row],[II Muudatus]]</f>
        <v>2376</v>
      </c>
    </row>
    <row r="1373" spans="1:21" ht="14.25" hidden="1" customHeight="1" x14ac:dyDescent="0.25">
      <c r="A1373" s="42" t="s">
        <v>1468</v>
      </c>
      <c r="B1373" s="42">
        <v>2604</v>
      </c>
      <c r="C1373" s="42">
        <v>5002</v>
      </c>
      <c r="D1373" s="53" t="str">
        <f>LEFT(Table1[[#This Row],[Eelarvekonto]],2)</f>
        <v>50</v>
      </c>
      <c r="E1373" s="42" t="str">
        <f>VLOOKUP(Table1[[#This Row],[Eelarvekonto]],Table5[[Konto]:[Konto nimetus]],2,FALSE)</f>
        <v>Töötajate töötasud</v>
      </c>
      <c r="F1373" s="98" t="s">
        <v>139</v>
      </c>
      <c r="G1373" s="42" t="s">
        <v>24</v>
      </c>
      <c r="H1373" s="42"/>
      <c r="I1373" s="42"/>
      <c r="J1373" s="98" t="s">
        <v>293</v>
      </c>
      <c r="K1373" s="42" t="s">
        <v>291</v>
      </c>
      <c r="L1373" s="103" t="s">
        <v>292</v>
      </c>
      <c r="M1373" s="100" t="str">
        <f>LEFT(Table1[[#This Row],[Tegevusala kood]],2)</f>
        <v>09</v>
      </c>
      <c r="N1373" s="53" t="str">
        <f>VLOOKUP(Table1[[#This Row],[Tegevusala kood]],Table4[[Tegevusala kood]:[Tegevusala alanimetus]],2,FALSE)</f>
        <v>Pajusti Lasteaed Pajustis</v>
      </c>
      <c r="O1373" s="42"/>
      <c r="P1373" s="42"/>
      <c r="Q1373" s="53" t="str">
        <f>VLOOKUP(Table1[[#This Row],[Eelarvekonto]],Table5[[Konto]:[Kontode alanimetus]],5,FALSE)</f>
        <v>Tööjõukulud</v>
      </c>
      <c r="R1373" s="53" t="str">
        <f>VLOOKUP(Table1[[#This Row],[Tegevusala kood]],Table4[[Tegevusala kood]:[Tegevusala alanimetus]],4,FALSE)</f>
        <v>Alusharidus</v>
      </c>
      <c r="S1373" s="53"/>
      <c r="T1373" s="53"/>
      <c r="U1373" s="53">
        <f>Table1[[#This Row],[Summa]]+Table1[[#This Row],[I Muudatus]]+Table1[[#This Row],[II Muudatus]]</f>
        <v>2604</v>
      </c>
    </row>
    <row r="1374" spans="1:21" ht="14.25" hidden="1" customHeight="1" x14ac:dyDescent="0.25">
      <c r="A1374" s="42" t="s">
        <v>1461</v>
      </c>
      <c r="B1374" s="42">
        <v>551.61599999999999</v>
      </c>
      <c r="C1374" s="42">
        <v>506</v>
      </c>
      <c r="D1374" s="53" t="str">
        <f>LEFT(Table1[[#This Row],[Eelarvekonto]],2)</f>
        <v>50</v>
      </c>
      <c r="E1374" s="42" t="str">
        <f>VLOOKUP(Table1[[#This Row],[Eelarvekonto]],Table5[[Konto]:[Konto nimetus]],2,FALSE)</f>
        <v>Tööjõukuludega kaasnevad maksud ja sotsiaalkindlustusmaksed</v>
      </c>
      <c r="F1374" s="98" t="s">
        <v>139</v>
      </c>
      <c r="G1374" s="42" t="s">
        <v>24</v>
      </c>
      <c r="H1374" s="42"/>
      <c r="I1374" s="42"/>
      <c r="J1374" s="42" t="s">
        <v>306</v>
      </c>
      <c r="K1374" s="42" t="s">
        <v>304</v>
      </c>
      <c r="L1374" s="62" t="s">
        <v>305</v>
      </c>
      <c r="M1374" s="100" t="str">
        <f>LEFT(Table1[[#This Row],[Tegevusala kood]],2)</f>
        <v>09</v>
      </c>
      <c r="N1374" s="53" t="str">
        <f>VLOOKUP(Table1[[#This Row],[Tegevusala kood]],Table4[[Tegevusala kood]:[Tegevusala alanimetus]],2,FALSE)</f>
        <v>Vinni Lasteaed</v>
      </c>
      <c r="O1374" s="42"/>
      <c r="P1374" s="42"/>
      <c r="Q1374" s="53" t="str">
        <f>VLOOKUP(Table1[[#This Row],[Eelarvekonto]],Table5[[Konto]:[Kontode alanimetus]],5,FALSE)</f>
        <v>Tööjõukulud</v>
      </c>
      <c r="R1374" s="53" t="str">
        <f>VLOOKUP(Table1[[#This Row],[Tegevusala kood]],Table4[[Tegevusala kood]:[Tegevusala alanimetus]],4,FALSE)</f>
        <v>Alusharidus</v>
      </c>
      <c r="S1374" s="53"/>
      <c r="T1374" s="53"/>
      <c r="U1374" s="53">
        <f>Table1[[#This Row],[Summa]]+Table1[[#This Row],[I Muudatus]]+Table1[[#This Row],[II Muudatus]]</f>
        <v>551.61599999999999</v>
      </c>
    </row>
    <row r="1375" spans="1:21" ht="14.25" hidden="1" customHeight="1" x14ac:dyDescent="0.25">
      <c r="A1375" s="42" t="s">
        <v>1462</v>
      </c>
      <c r="B1375" s="42">
        <v>419.3904</v>
      </c>
      <c r="C1375" s="42">
        <v>506</v>
      </c>
      <c r="D1375" s="53" t="str">
        <f>LEFT(Table1[[#This Row],[Eelarvekonto]],2)</f>
        <v>50</v>
      </c>
      <c r="E1375" s="42" t="str">
        <f>VLOOKUP(Table1[[#This Row],[Eelarvekonto]],Table5[[Konto]:[Konto nimetus]],2,FALSE)</f>
        <v>Tööjõukuludega kaasnevad maksud ja sotsiaalkindlustusmaksed</v>
      </c>
      <c r="F1375" s="98" t="s">
        <v>139</v>
      </c>
      <c r="G1375" s="42" t="s">
        <v>24</v>
      </c>
      <c r="H1375" s="42"/>
      <c r="I1375" s="42"/>
      <c r="J1375" s="98" t="s">
        <v>293</v>
      </c>
      <c r="K1375" s="42" t="s">
        <v>291</v>
      </c>
      <c r="L1375" s="103" t="s">
        <v>292</v>
      </c>
      <c r="M1375" s="100" t="str">
        <f>LEFT(Table1[[#This Row],[Tegevusala kood]],2)</f>
        <v>09</v>
      </c>
      <c r="N1375" s="53" t="str">
        <f>VLOOKUP(Table1[[#This Row],[Tegevusala kood]],Table4[[Tegevusala kood]:[Tegevusala alanimetus]],2,FALSE)</f>
        <v>Pajusti Lasteaed Pajustis</v>
      </c>
      <c r="O1375" s="42"/>
      <c r="P1375" s="42"/>
      <c r="Q1375" s="53" t="str">
        <f>VLOOKUP(Table1[[#This Row],[Eelarvekonto]],Table5[[Konto]:[Kontode alanimetus]],5,FALSE)</f>
        <v>Tööjõukulud</v>
      </c>
      <c r="R1375" s="53" t="str">
        <f>VLOOKUP(Table1[[#This Row],[Tegevusala kood]],Table4[[Tegevusala kood]:[Tegevusala alanimetus]],4,FALSE)</f>
        <v>Alusharidus</v>
      </c>
      <c r="S1375" s="53"/>
      <c r="T1375" s="53"/>
      <c r="U1375" s="53">
        <f>Table1[[#This Row],[Summa]]+Table1[[#This Row],[I Muudatus]]+Table1[[#This Row],[II Muudatus]]</f>
        <v>419.3904</v>
      </c>
    </row>
    <row r="1376" spans="1:21" ht="14.25" hidden="1" customHeight="1" x14ac:dyDescent="0.25">
      <c r="A1376" s="42" t="s">
        <v>1463</v>
      </c>
      <c r="B1376" s="42">
        <v>419.3904</v>
      </c>
      <c r="C1376" s="42">
        <v>506</v>
      </c>
      <c r="D1376" s="53" t="str">
        <f>LEFT(Table1[[#This Row],[Eelarvekonto]],2)</f>
        <v>50</v>
      </c>
      <c r="E1376" s="42" t="str">
        <f>VLOOKUP(Table1[[#This Row],[Eelarvekonto]],Table5[[Konto]:[Konto nimetus]],2,FALSE)</f>
        <v>Tööjõukuludega kaasnevad maksud ja sotsiaalkindlustusmaksed</v>
      </c>
      <c r="F1376" s="98" t="s">
        <v>139</v>
      </c>
      <c r="G1376" s="42" t="s">
        <v>24</v>
      </c>
      <c r="H1376" s="42"/>
      <c r="I1376" s="42"/>
      <c r="J1376" s="42" t="s">
        <v>296</v>
      </c>
      <c r="K1376" s="42" t="s">
        <v>294</v>
      </c>
      <c r="L1376" s="62" t="s">
        <v>295</v>
      </c>
      <c r="M1376" s="100" t="str">
        <f>LEFT(Table1[[#This Row],[Tegevusala kood]],2)</f>
        <v>09</v>
      </c>
      <c r="N1376" s="53" t="str">
        <f>VLOOKUP(Table1[[#This Row],[Tegevusala kood]],Table4[[Tegevusala kood]:[Tegevusala alanimetus]],2,FALSE)</f>
        <v>Kulina Lasteaed</v>
      </c>
      <c r="O1376" s="42"/>
      <c r="P1376" s="42"/>
      <c r="Q1376" s="53" t="str">
        <f>VLOOKUP(Table1[[#This Row],[Eelarvekonto]],Table5[[Konto]:[Kontode alanimetus]],5,FALSE)</f>
        <v>Tööjõukulud</v>
      </c>
      <c r="R1376" s="53" t="str">
        <f>VLOOKUP(Table1[[#This Row],[Tegevusala kood]],Table4[[Tegevusala kood]:[Tegevusala alanimetus]],4,FALSE)</f>
        <v>Alusharidus</v>
      </c>
      <c r="S1376" s="53"/>
      <c r="T1376" s="53"/>
      <c r="U1376" s="53">
        <f>Table1[[#This Row],[Summa]]+Table1[[#This Row],[I Muudatus]]+Table1[[#This Row],[II Muudatus]]</f>
        <v>419.3904</v>
      </c>
    </row>
    <row r="1377" spans="1:21" ht="14.25" hidden="1" customHeight="1" x14ac:dyDescent="0.25">
      <c r="A1377" s="42" t="s">
        <v>1464</v>
      </c>
      <c r="B1377" s="42">
        <v>419.3904</v>
      </c>
      <c r="C1377" s="42">
        <v>506</v>
      </c>
      <c r="D1377" s="53" t="str">
        <f>LEFT(Table1[[#This Row],[Eelarvekonto]],2)</f>
        <v>50</v>
      </c>
      <c r="E1377" s="42" t="str">
        <f>VLOOKUP(Table1[[#This Row],[Eelarvekonto]],Table5[[Konto]:[Konto nimetus]],2,FALSE)</f>
        <v>Tööjõukuludega kaasnevad maksud ja sotsiaalkindlustusmaksed</v>
      </c>
      <c r="F1377" s="98" t="s">
        <v>139</v>
      </c>
      <c r="G1377" s="42" t="s">
        <v>24</v>
      </c>
      <c r="H1377" s="42"/>
      <c r="I1377" s="42"/>
      <c r="J1377" s="42" t="s">
        <v>258</v>
      </c>
      <c r="K1377" s="42" t="s">
        <v>256</v>
      </c>
      <c r="L1377" s="62" t="s">
        <v>257</v>
      </c>
      <c r="M1377" s="100" t="str">
        <f>LEFT(Table1[[#This Row],[Tegevusala kood]],2)</f>
        <v>09</v>
      </c>
      <c r="N1377" s="53" t="str">
        <f>VLOOKUP(Table1[[#This Row],[Tegevusala kood]],Table4[[Tegevusala kood]:[Tegevusala alanimetus]],2,FALSE)</f>
        <v>Tudu kool</v>
      </c>
      <c r="O1377" s="42"/>
      <c r="P1377" s="42"/>
      <c r="Q1377" s="53" t="str">
        <f>VLOOKUP(Table1[[#This Row],[Eelarvekonto]],Table5[[Konto]:[Kontode alanimetus]],5,FALSE)</f>
        <v>Tööjõukulud</v>
      </c>
      <c r="R1377" s="53" t="str">
        <f>VLOOKUP(Table1[[#This Row],[Tegevusala kood]],Table4[[Tegevusala kood]:[Tegevusala alanimetus]],4,FALSE)</f>
        <v>Põhihariduse otsekulud</v>
      </c>
      <c r="S1377" s="53"/>
      <c r="T1377" s="53"/>
      <c r="U1377" s="53">
        <f>Table1[[#This Row],[Summa]]+Table1[[#This Row],[I Muudatus]]+Table1[[#This Row],[II Muudatus]]</f>
        <v>419.3904</v>
      </c>
    </row>
    <row r="1378" spans="1:21" ht="14.25" hidden="1" customHeight="1" x14ac:dyDescent="0.25">
      <c r="A1378" s="42" t="s">
        <v>1466</v>
      </c>
      <c r="B1378" s="42">
        <v>1416</v>
      </c>
      <c r="C1378" s="42">
        <v>5002</v>
      </c>
      <c r="D1378" s="53" t="str">
        <f>LEFT(Table1[[#This Row],[Eelarvekonto]],2)</f>
        <v>50</v>
      </c>
      <c r="E1378" s="42" t="str">
        <f>VLOOKUP(Table1[[#This Row],[Eelarvekonto]],Table5[[Konto]:[Konto nimetus]],2,FALSE)</f>
        <v>Töötajate töötasud</v>
      </c>
      <c r="F1378" s="98" t="s">
        <v>139</v>
      </c>
      <c r="G1378" s="42" t="s">
        <v>24</v>
      </c>
      <c r="H1378" s="42"/>
      <c r="I1378" s="42"/>
      <c r="J1378" s="42" t="s">
        <v>280</v>
      </c>
      <c r="K1378" s="42" t="s">
        <v>109</v>
      </c>
      <c r="L1378" s="62" t="s">
        <v>279</v>
      </c>
      <c r="M1378" s="100" t="str">
        <f>LEFT(Table1[[#This Row],[Tegevusala kood]],2)</f>
        <v>09</v>
      </c>
      <c r="N1378" s="53" t="str">
        <f>VLOOKUP(Table1[[#This Row],[Tegevusala kood]],Table4[[Tegevusala kood]:[Tegevusala alanimetus]],2,FALSE)</f>
        <v>Laekvere Kool</v>
      </c>
      <c r="O1378" s="42"/>
      <c r="P1378" s="42"/>
      <c r="Q1378" s="53" t="str">
        <f>VLOOKUP(Table1[[#This Row],[Eelarvekonto]],Table5[[Konto]:[Kontode alanimetus]],5,FALSE)</f>
        <v>Tööjõukulud</v>
      </c>
      <c r="R1378" s="53" t="str">
        <f>VLOOKUP(Table1[[#This Row],[Tegevusala kood]],Table4[[Tegevusala kood]:[Tegevusala alanimetus]],4,FALSE)</f>
        <v>Põhihariduse otsekulud</v>
      </c>
      <c r="S1378" s="53"/>
      <c r="T1378" s="53"/>
      <c r="U1378" s="53">
        <f>Table1[[#This Row],[Summa]]+Table1[[#This Row],[I Muudatus]]+Table1[[#This Row],[II Muudatus]]</f>
        <v>1416</v>
      </c>
    </row>
    <row r="1379" spans="1:21" ht="14.25" hidden="1" customHeight="1" x14ac:dyDescent="0.25">
      <c r="A1379" s="42" t="s">
        <v>1471</v>
      </c>
      <c r="B1379" s="42">
        <v>3840</v>
      </c>
      <c r="C1379" s="42">
        <v>5002</v>
      </c>
      <c r="D1379" s="53" t="str">
        <f>LEFT(Table1[[#This Row],[Eelarvekonto]],2)</f>
        <v>50</v>
      </c>
      <c r="E1379" s="42" t="str">
        <f>VLOOKUP(Table1[[#This Row],[Eelarvekonto]],Table5[[Konto]:[Konto nimetus]],2,FALSE)</f>
        <v>Töötajate töötasud</v>
      </c>
      <c r="F1379" s="98" t="s">
        <v>139</v>
      </c>
      <c r="G1379" s="42" t="s">
        <v>24</v>
      </c>
      <c r="H1379" s="42"/>
      <c r="I1379" s="42"/>
      <c r="J1379" s="98" t="s">
        <v>252</v>
      </c>
      <c r="K1379" s="42" t="s">
        <v>251</v>
      </c>
      <c r="L1379" s="103" t="s">
        <v>250</v>
      </c>
      <c r="M1379" s="100" t="str">
        <f>LEFT(Table1[[#This Row],[Tegevusala kood]],2)</f>
        <v>09</v>
      </c>
      <c r="N1379" s="53" t="str">
        <f>VLOOKUP(Table1[[#This Row],[Tegevusala kood]],Table4[[Tegevusala kood]:[Tegevusala alanimetus]],2,FALSE)</f>
        <v>Vinni-Pajusti Gümnaasium</v>
      </c>
      <c r="O1379" s="42"/>
      <c r="P1379" s="42"/>
      <c r="Q1379" s="53" t="str">
        <f>VLOOKUP(Table1[[#This Row],[Eelarvekonto]],Table5[[Konto]:[Kontode alanimetus]],5,FALSE)</f>
        <v>Tööjõukulud</v>
      </c>
      <c r="R1379" s="53" t="str">
        <f>VLOOKUP(Table1[[#This Row],[Tegevusala kood]],Table4[[Tegevusala kood]:[Tegevusala alanimetus]],4,FALSE)</f>
        <v>Põhihariduse otsekulud</v>
      </c>
      <c r="S1379" s="53"/>
      <c r="T1379" s="53"/>
      <c r="U1379" s="53">
        <f>Table1[[#This Row],[Summa]]+Table1[[#This Row],[I Muudatus]]+Table1[[#This Row],[II Muudatus]]</f>
        <v>3840</v>
      </c>
    </row>
    <row r="1380" spans="1:21" ht="14.25" hidden="1" customHeight="1" x14ac:dyDescent="0.25">
      <c r="A1380" s="42" t="s">
        <v>1469</v>
      </c>
      <c r="B1380" s="42">
        <v>2400</v>
      </c>
      <c r="C1380" s="42">
        <v>5002</v>
      </c>
      <c r="D1380" s="53" t="str">
        <f>LEFT(Table1[[#This Row],[Eelarvekonto]],2)</f>
        <v>50</v>
      </c>
      <c r="E1380" s="42" t="str">
        <f>VLOOKUP(Table1[[#This Row],[Eelarvekonto]],Table5[[Konto]:[Konto nimetus]],2,FALSE)</f>
        <v>Töötajate töötasud</v>
      </c>
      <c r="F1380" s="98" t="s">
        <v>139</v>
      </c>
      <c r="G1380" s="42" t="s">
        <v>24</v>
      </c>
      <c r="H1380" s="42"/>
      <c r="I1380" s="42"/>
      <c r="J1380" s="98" t="s">
        <v>252</v>
      </c>
      <c r="K1380" s="42" t="s">
        <v>251</v>
      </c>
      <c r="L1380" s="103" t="s">
        <v>250</v>
      </c>
      <c r="M1380" s="100" t="str">
        <f>LEFT(Table1[[#This Row],[Tegevusala kood]],2)</f>
        <v>09</v>
      </c>
      <c r="N1380" s="53" t="str">
        <f>VLOOKUP(Table1[[#This Row],[Tegevusala kood]],Table4[[Tegevusala kood]:[Tegevusala alanimetus]],2,FALSE)</f>
        <v>Vinni-Pajusti Gümnaasium</v>
      </c>
      <c r="O1380" s="42"/>
      <c r="P1380" s="42"/>
      <c r="Q1380" s="53" t="str">
        <f>VLOOKUP(Table1[[#This Row],[Eelarvekonto]],Table5[[Konto]:[Kontode alanimetus]],5,FALSE)</f>
        <v>Tööjõukulud</v>
      </c>
      <c r="R1380" s="53" t="str">
        <f>VLOOKUP(Table1[[#This Row],[Tegevusala kood]],Table4[[Tegevusala kood]:[Tegevusala alanimetus]],4,FALSE)</f>
        <v>Põhihariduse otsekulud</v>
      </c>
      <c r="S1380" s="53"/>
      <c r="T1380" s="53"/>
      <c r="U1380" s="53">
        <f>Table1[[#This Row],[Summa]]+Table1[[#This Row],[I Muudatus]]+Table1[[#This Row],[II Muudatus]]</f>
        <v>2400</v>
      </c>
    </row>
    <row r="1381" spans="1:21" ht="14.25" hidden="1" customHeight="1" x14ac:dyDescent="0.25">
      <c r="A1381" s="42" t="s">
        <v>1472</v>
      </c>
      <c r="B1381" s="42">
        <v>1008</v>
      </c>
      <c r="C1381" s="42">
        <v>5002</v>
      </c>
      <c r="D1381" s="53" t="str">
        <f>LEFT(Table1[[#This Row],[Eelarvekonto]],2)</f>
        <v>50</v>
      </c>
      <c r="E1381" s="42" t="str">
        <f>VLOOKUP(Table1[[#This Row],[Eelarvekonto]],Table5[[Konto]:[Konto nimetus]],2,FALSE)</f>
        <v>Töötajate töötasud</v>
      </c>
      <c r="F1381" s="98" t="s">
        <v>139</v>
      </c>
      <c r="G1381" s="42" t="s">
        <v>24</v>
      </c>
      <c r="H1381" s="42"/>
      <c r="I1381" s="42"/>
      <c r="J1381" s="42" t="s">
        <v>247</v>
      </c>
      <c r="K1381" s="42" t="s">
        <v>95</v>
      </c>
      <c r="L1381" s="62" t="s">
        <v>246</v>
      </c>
      <c r="M1381" s="100" t="str">
        <f>LEFT(Table1[[#This Row],[Tegevusala kood]],2)</f>
        <v>08</v>
      </c>
      <c r="N1381" s="53" t="str">
        <f>VLOOKUP(Table1[[#This Row],[Tegevusala kood]],Table4[[Tegevusala kood]:[Tegevusala alanimetus]],2,FALSE)</f>
        <v>Laekvere Raamatukogu</v>
      </c>
      <c r="O1381" s="42"/>
      <c r="P1381" s="42"/>
      <c r="Q1381" s="53" t="str">
        <f>VLOOKUP(Table1[[#This Row],[Eelarvekonto]],Table5[[Konto]:[Kontode alanimetus]],5,FALSE)</f>
        <v>Tööjõukulud</v>
      </c>
      <c r="R1381" s="53" t="str">
        <f>VLOOKUP(Table1[[#This Row],[Tegevusala kood]],Table4[[Tegevusala kood]:[Tegevusala alanimetus]],4,FALSE)</f>
        <v>Raamatukogud</v>
      </c>
      <c r="S1381" s="53"/>
      <c r="T1381" s="53"/>
      <c r="U1381" s="53">
        <f>Table1[[#This Row],[Summa]]+Table1[[#This Row],[I Muudatus]]+Table1[[#This Row],[II Muudatus]]</f>
        <v>1008</v>
      </c>
    </row>
    <row r="1382" spans="1:21" ht="14.25" hidden="1" customHeight="1" x14ac:dyDescent="0.25">
      <c r="A1382" s="42" t="s">
        <v>1473</v>
      </c>
      <c r="B1382" s="42">
        <v>1368</v>
      </c>
      <c r="C1382" s="42">
        <v>5002</v>
      </c>
      <c r="D1382" s="53" t="str">
        <f>LEFT(Table1[[#This Row],[Eelarvekonto]],2)</f>
        <v>50</v>
      </c>
      <c r="E1382" s="42" t="str">
        <f>VLOOKUP(Table1[[#This Row],[Eelarvekonto]],Table5[[Konto]:[Konto nimetus]],2,FALSE)</f>
        <v>Töötajate töötasud</v>
      </c>
      <c r="F1382" s="98" t="s">
        <v>139</v>
      </c>
      <c r="G1382" s="42" t="s">
        <v>24</v>
      </c>
      <c r="H1382" s="42"/>
      <c r="I1382" s="42"/>
      <c r="J1382" s="42" t="s">
        <v>247</v>
      </c>
      <c r="K1382" s="42" t="s">
        <v>95</v>
      </c>
      <c r="L1382" s="62" t="s">
        <v>246</v>
      </c>
      <c r="M1382" s="100" t="str">
        <f>LEFT(Table1[[#This Row],[Tegevusala kood]],2)</f>
        <v>08</v>
      </c>
      <c r="N1382" s="53" t="str">
        <f>VLOOKUP(Table1[[#This Row],[Tegevusala kood]],Table4[[Tegevusala kood]:[Tegevusala alanimetus]],2,FALSE)</f>
        <v>Laekvere Raamatukogu</v>
      </c>
      <c r="O1382" s="42"/>
      <c r="P1382" s="42"/>
      <c r="Q1382" s="53" t="str">
        <f>VLOOKUP(Table1[[#This Row],[Eelarvekonto]],Table5[[Konto]:[Kontode alanimetus]],5,FALSE)</f>
        <v>Tööjõukulud</v>
      </c>
      <c r="R1382" s="53" t="str">
        <f>VLOOKUP(Table1[[#This Row],[Tegevusala kood]],Table4[[Tegevusala kood]:[Tegevusala alanimetus]],4,FALSE)</f>
        <v>Raamatukogud</v>
      </c>
      <c r="S1382" s="53"/>
      <c r="T1382" s="53"/>
      <c r="U1382" s="53">
        <f>Table1[[#This Row],[Summa]]+Table1[[#This Row],[I Muudatus]]+Table1[[#This Row],[II Muudatus]]</f>
        <v>1368</v>
      </c>
    </row>
    <row r="1383" spans="1:21" ht="14.25" hidden="1" customHeight="1" x14ac:dyDescent="0.25">
      <c r="A1383" s="42" t="s">
        <v>1465</v>
      </c>
      <c r="B1383" s="42">
        <v>308.25599999999997</v>
      </c>
      <c r="C1383" s="42">
        <v>506</v>
      </c>
      <c r="D1383" s="53" t="str">
        <f>LEFT(Table1[[#This Row],[Eelarvekonto]],2)</f>
        <v>50</v>
      </c>
      <c r="E1383" s="42" t="str">
        <f>VLOOKUP(Table1[[#This Row],[Eelarvekonto]],Table5[[Konto]:[Konto nimetus]],2,FALSE)</f>
        <v>Tööjõukuludega kaasnevad maksud ja sotsiaalkindlustusmaksed</v>
      </c>
      <c r="F1383" s="98" t="s">
        <v>139</v>
      </c>
      <c r="G1383" s="42" t="s">
        <v>24</v>
      </c>
      <c r="H1383" s="42"/>
      <c r="I1383" s="42"/>
      <c r="J1383" s="42" t="s">
        <v>280</v>
      </c>
      <c r="K1383" s="42" t="s">
        <v>109</v>
      </c>
      <c r="L1383" s="62" t="s">
        <v>279</v>
      </c>
      <c r="M1383" s="100" t="str">
        <f>LEFT(Table1[[#This Row],[Tegevusala kood]],2)</f>
        <v>09</v>
      </c>
      <c r="N1383" s="53" t="str">
        <f>VLOOKUP(Table1[[#This Row],[Tegevusala kood]],Table4[[Tegevusala kood]:[Tegevusala alanimetus]],2,FALSE)</f>
        <v>Laekvere Kool</v>
      </c>
      <c r="O1383" s="42"/>
      <c r="P1383" s="42"/>
      <c r="Q1383" s="53" t="str">
        <f>VLOOKUP(Table1[[#This Row],[Eelarvekonto]],Table5[[Konto]:[Kontode alanimetus]],5,FALSE)</f>
        <v>Tööjõukulud</v>
      </c>
      <c r="R1383" s="53" t="str">
        <f>VLOOKUP(Table1[[#This Row],[Tegevusala kood]],Table4[[Tegevusala kood]:[Tegevusala alanimetus]],4,FALSE)</f>
        <v>Põhihariduse otsekulud</v>
      </c>
      <c r="S1383" s="53"/>
      <c r="T1383" s="53"/>
      <c r="U1383" s="53">
        <f>Table1[[#This Row],[Summa]]+Table1[[#This Row],[I Muudatus]]+Table1[[#This Row],[II Muudatus]]</f>
        <v>308.25599999999997</v>
      </c>
    </row>
    <row r="1384" spans="1:21" ht="14.25" hidden="1" customHeight="1" x14ac:dyDescent="0.25">
      <c r="A1384" s="68" t="s">
        <v>470</v>
      </c>
      <c r="B1384" s="68">
        <v>7848</v>
      </c>
      <c r="C1384" s="52">
        <v>5002</v>
      </c>
      <c r="D1384" s="52" t="str">
        <f>LEFT(Table1[[#This Row],[Eelarvekonto]],2)</f>
        <v>50</v>
      </c>
      <c r="E1384" s="68" t="str">
        <f>VLOOKUP(Table1[[#This Row],[Eelarvekonto]],Table5[[Konto]:[Konto nimetus]],2,FALSE)</f>
        <v>Töötajate töötasud</v>
      </c>
      <c r="F1384" s="68" t="s">
        <v>139</v>
      </c>
      <c r="G1384" s="68" t="s">
        <v>24</v>
      </c>
      <c r="H1384" s="68"/>
      <c r="I1384" s="68"/>
      <c r="J1384" s="68" t="s">
        <v>167</v>
      </c>
      <c r="K1384" s="68" t="s">
        <v>165</v>
      </c>
      <c r="L1384" s="58" t="s">
        <v>166</v>
      </c>
      <c r="M1384" s="58" t="str">
        <f>LEFT(Table1[[#This Row],[Tegevusala kood]],2)</f>
        <v>10</v>
      </c>
      <c r="N1384" s="68" t="str">
        <f>VLOOKUP(Table1[[#This Row],[Tegevusala kood]],Table4[[Tegevusala kood]:[Tegevusala alanimetus]],2,FALSE)</f>
        <v>Tammiku Kodu</v>
      </c>
      <c r="O1384" s="68" t="s">
        <v>1</v>
      </c>
      <c r="P1384" s="68" t="s">
        <v>1</v>
      </c>
      <c r="Q1384" s="68" t="str">
        <f>VLOOKUP(Table1[[#This Row],[Eelarvekonto]],Table5[[Konto]:[Kontode alanimetus]],5,FALSE)</f>
        <v>Tööjõukulud</v>
      </c>
      <c r="R1384" s="42" t="str">
        <f>VLOOKUP(Table1[[#This Row],[Tegevusala kood]],Table4[[Tegevusala kood]:[Tegevusala alanimetus]],4,FALSE)</f>
        <v>Eakate sotsiaalhoolekande asutused</v>
      </c>
      <c r="S1384" s="53"/>
      <c r="T1384" s="53"/>
      <c r="U1384" s="53">
        <f>Table1[[#This Row],[Summa]]+Table1[[#This Row],[I Muudatus]]+Table1[[#This Row],[II Muudatus]]</f>
        <v>7848</v>
      </c>
    </row>
    <row r="1385" spans="1:21" ht="14.25" hidden="1" customHeight="1" x14ac:dyDescent="0.25">
      <c r="A1385" s="42" t="s">
        <v>1476</v>
      </c>
      <c r="B1385" s="42">
        <v>803.08799999999997</v>
      </c>
      <c r="C1385" s="42">
        <v>506</v>
      </c>
      <c r="D1385" s="53" t="str">
        <f>LEFT(Table1[[#This Row],[Eelarvekonto]],2)</f>
        <v>50</v>
      </c>
      <c r="E1385" s="42" t="str">
        <f>VLOOKUP(Table1[[#This Row],[Eelarvekonto]],Table5[[Konto]:[Konto nimetus]],2,FALSE)</f>
        <v>Tööjõukuludega kaasnevad maksud ja sotsiaalkindlustusmaksed</v>
      </c>
      <c r="F1385" s="98" t="s">
        <v>139</v>
      </c>
      <c r="G1385" s="42" t="s">
        <v>24</v>
      </c>
      <c r="H1385" s="42"/>
      <c r="I1385" s="42"/>
      <c r="J1385" s="42" t="s">
        <v>306</v>
      </c>
      <c r="K1385" s="42" t="s">
        <v>304</v>
      </c>
      <c r="L1385" s="62" t="s">
        <v>305</v>
      </c>
      <c r="M1385" s="100" t="str">
        <f>LEFT(Table1[[#This Row],[Tegevusala kood]],2)</f>
        <v>09</v>
      </c>
      <c r="N1385" s="53" t="str">
        <f>VLOOKUP(Table1[[#This Row],[Tegevusala kood]],Table4[[Tegevusala kood]:[Tegevusala alanimetus]],2,FALSE)</f>
        <v>Vinni Lasteaed</v>
      </c>
      <c r="O1385" s="42"/>
      <c r="P1385" s="42"/>
      <c r="Q1385" s="53" t="str">
        <f>VLOOKUP(Table1[[#This Row],[Eelarvekonto]],Table5[[Konto]:[Kontode alanimetus]],5,FALSE)</f>
        <v>Tööjõukulud</v>
      </c>
      <c r="R1385" s="53" t="str">
        <f>VLOOKUP(Table1[[#This Row],[Tegevusala kood]],Table4[[Tegevusala kood]:[Tegevusala alanimetus]],4,FALSE)</f>
        <v>Alusharidus</v>
      </c>
      <c r="S1385" s="53"/>
      <c r="T1385" s="53"/>
      <c r="U1385" s="53">
        <f>Table1[[#This Row],[Summa]]+Table1[[#This Row],[I Muudatus]]+Table1[[#This Row],[II Muudatus]]</f>
        <v>803.08799999999997</v>
      </c>
    </row>
    <row r="1386" spans="1:21" ht="14.25" hidden="1" customHeight="1" x14ac:dyDescent="0.25">
      <c r="A1386" s="42" t="s">
        <v>1407</v>
      </c>
      <c r="B1386" s="42">
        <v>880.15200000000004</v>
      </c>
      <c r="C1386" s="42">
        <v>506</v>
      </c>
      <c r="D1386" s="53" t="str">
        <f>LEFT(Table1[[#This Row],[Eelarvekonto]],2)</f>
        <v>50</v>
      </c>
      <c r="E1386" s="42" t="str">
        <f>VLOOKUP(Table1[[#This Row],[Eelarvekonto]],Table5[[Konto]:[Konto nimetus]],2,FALSE)</f>
        <v>Tööjõukuludega kaasnevad maksud ja sotsiaalkindlustusmaksed</v>
      </c>
      <c r="F1386" s="98" t="s">
        <v>139</v>
      </c>
      <c r="G1386" s="42" t="s">
        <v>24</v>
      </c>
      <c r="H1386" s="42"/>
      <c r="I1386" s="42"/>
      <c r="J1386" s="98" t="s">
        <v>293</v>
      </c>
      <c r="K1386" s="42" t="s">
        <v>291</v>
      </c>
      <c r="L1386" s="103" t="s">
        <v>292</v>
      </c>
      <c r="M1386" s="100" t="str">
        <f>LEFT(Table1[[#This Row],[Tegevusala kood]],2)</f>
        <v>09</v>
      </c>
      <c r="N1386" s="53" t="str">
        <f>VLOOKUP(Table1[[#This Row],[Tegevusala kood]],Table4[[Tegevusala kood]:[Tegevusala alanimetus]],2,FALSE)</f>
        <v>Pajusti Lasteaed Pajustis</v>
      </c>
      <c r="O1386" s="42"/>
      <c r="P1386" s="42"/>
      <c r="Q1386" s="53" t="str">
        <f>VLOOKUP(Table1[[#This Row],[Eelarvekonto]],Table5[[Konto]:[Kontode alanimetus]],5,FALSE)</f>
        <v>Tööjõukulud</v>
      </c>
      <c r="R1386" s="53" t="str">
        <f>VLOOKUP(Table1[[#This Row],[Tegevusala kood]],Table4[[Tegevusala kood]:[Tegevusala alanimetus]],4,FALSE)</f>
        <v>Alusharidus</v>
      </c>
      <c r="S1386" s="53"/>
      <c r="T1386" s="53"/>
      <c r="U1386" s="53">
        <f>Table1[[#This Row],[Summa]]+Table1[[#This Row],[I Muudatus]]+Table1[[#This Row],[II Muudatus]]</f>
        <v>880.15200000000004</v>
      </c>
    </row>
    <row r="1387" spans="1:21" ht="14.25" hidden="1" customHeight="1" x14ac:dyDescent="0.25">
      <c r="A1387" s="68" t="s">
        <v>470</v>
      </c>
      <c r="B1387" s="68">
        <v>7920</v>
      </c>
      <c r="C1387" s="52">
        <v>5002</v>
      </c>
      <c r="D1387" s="52" t="str">
        <f>LEFT(Table1[[#This Row],[Eelarvekonto]],2)</f>
        <v>50</v>
      </c>
      <c r="E1387" s="68" t="str">
        <f>VLOOKUP(Table1[[#This Row],[Eelarvekonto]],Table5[[Konto]:[Konto nimetus]],2,FALSE)</f>
        <v>Töötajate töötasud</v>
      </c>
      <c r="F1387" s="68" t="s">
        <v>139</v>
      </c>
      <c r="G1387" s="68" t="s">
        <v>24</v>
      </c>
      <c r="H1387" s="68"/>
      <c r="I1387" s="68"/>
      <c r="J1387" s="68" t="s">
        <v>167</v>
      </c>
      <c r="K1387" s="68" t="s">
        <v>165</v>
      </c>
      <c r="L1387" s="58" t="s">
        <v>166</v>
      </c>
      <c r="M1387" s="58" t="str">
        <f>LEFT(Table1[[#This Row],[Tegevusala kood]],2)</f>
        <v>10</v>
      </c>
      <c r="N1387" s="68" t="str">
        <f>VLOOKUP(Table1[[#This Row],[Tegevusala kood]],Table4[[Tegevusala kood]:[Tegevusala alanimetus]],2,FALSE)</f>
        <v>Tammiku Kodu</v>
      </c>
      <c r="O1387" s="68" t="s">
        <v>1</v>
      </c>
      <c r="P1387" s="68" t="s">
        <v>1</v>
      </c>
      <c r="Q1387" s="68" t="str">
        <f>VLOOKUP(Table1[[#This Row],[Eelarvekonto]],Table5[[Konto]:[Kontode alanimetus]],5,FALSE)</f>
        <v>Tööjõukulud</v>
      </c>
      <c r="R1387" s="42" t="str">
        <f>VLOOKUP(Table1[[#This Row],[Tegevusala kood]],Table4[[Tegevusala kood]:[Tegevusala alanimetus]],4,FALSE)</f>
        <v>Eakate sotsiaalhoolekande asutused</v>
      </c>
      <c r="S1387" s="53"/>
      <c r="T1387" s="53"/>
      <c r="U1387" s="53">
        <f>Table1[[#This Row],[Summa]]+Table1[[#This Row],[I Muudatus]]+Table1[[#This Row],[II Muudatus]]</f>
        <v>7920</v>
      </c>
    </row>
    <row r="1388" spans="1:21" ht="14.25" hidden="1" customHeight="1" x14ac:dyDescent="0.25">
      <c r="A1388" s="68" t="s">
        <v>1095</v>
      </c>
      <c r="B1388" s="68">
        <v>530</v>
      </c>
      <c r="C1388" s="52">
        <v>5002</v>
      </c>
      <c r="D1388" s="52" t="str">
        <f>LEFT(Table1[[#This Row],[Eelarvekonto]],2)</f>
        <v>50</v>
      </c>
      <c r="E1388" s="68" t="str">
        <f>VLOOKUP(Table1[[#This Row],[Eelarvekonto]],Table5[[Konto]:[Konto nimetus]],2,FALSE)</f>
        <v>Töötajate töötasud</v>
      </c>
      <c r="F1388" s="68" t="s">
        <v>139</v>
      </c>
      <c r="G1388" s="68" t="s">
        <v>24</v>
      </c>
      <c r="H1388" s="68"/>
      <c r="I1388" s="68"/>
      <c r="J1388" s="68" t="s">
        <v>147</v>
      </c>
      <c r="K1388" s="68" t="s">
        <v>145</v>
      </c>
      <c r="L1388" s="58" t="s">
        <v>146</v>
      </c>
      <c r="M1388" s="58" t="str">
        <f>LEFT(Table1[[#This Row],[Tegevusala kood]],2)</f>
        <v>10</v>
      </c>
      <c r="N1388" s="68" t="str">
        <f>VLOOKUP(Table1[[#This Row],[Tegevusala kood]],Table4[[Tegevusala kood]:[Tegevusala alanimetus]],2,FALSE)</f>
        <v>Ulvi Kodu</v>
      </c>
      <c r="O1388" s="68" t="s">
        <v>1</v>
      </c>
      <c r="P1388" s="68" t="s">
        <v>1</v>
      </c>
      <c r="Q1388" s="68" t="str">
        <f>VLOOKUP(Table1[[#This Row],[Eelarvekonto]],Table5[[Konto]:[Kontode alanimetus]],5,FALSE)</f>
        <v>Tööjõukulud</v>
      </c>
      <c r="R1388" s="42" t="str">
        <f>VLOOKUP(Table1[[#This Row],[Tegevusala kood]],Table4[[Tegevusala kood]:[Tegevusala alanimetus]],4,FALSE)</f>
        <v>Eakate sotsiaalhoolekande asutused</v>
      </c>
      <c r="S1388" s="53"/>
      <c r="T1388" s="53"/>
      <c r="U1388" s="53">
        <f>Table1[[#This Row],[Summa]]+Table1[[#This Row],[I Muudatus]]+Table1[[#This Row],[II Muudatus]]</f>
        <v>530</v>
      </c>
    </row>
    <row r="1389" spans="1:21" ht="14.25" hidden="1" customHeight="1" x14ac:dyDescent="0.25">
      <c r="A1389" s="68" t="s">
        <v>470</v>
      </c>
      <c r="B1389" s="68">
        <v>21360</v>
      </c>
      <c r="C1389" s="52">
        <v>5002</v>
      </c>
      <c r="D1389" s="52" t="str">
        <f>LEFT(Table1[[#This Row],[Eelarvekonto]],2)</f>
        <v>50</v>
      </c>
      <c r="E1389" s="68" t="str">
        <f>VLOOKUP(Table1[[#This Row],[Eelarvekonto]],Table5[[Konto]:[Konto nimetus]],2,FALSE)</f>
        <v>Töötajate töötasud</v>
      </c>
      <c r="F1389" s="68" t="s">
        <v>139</v>
      </c>
      <c r="G1389" s="68" t="s">
        <v>24</v>
      </c>
      <c r="H1389" s="68"/>
      <c r="I1389" s="68"/>
      <c r="J1389" s="68" t="s">
        <v>147</v>
      </c>
      <c r="K1389" s="68" t="s">
        <v>145</v>
      </c>
      <c r="L1389" s="58" t="s">
        <v>146</v>
      </c>
      <c r="M1389" s="58" t="str">
        <f>LEFT(Table1[[#This Row],[Tegevusala kood]],2)</f>
        <v>10</v>
      </c>
      <c r="N1389" s="68" t="str">
        <f>VLOOKUP(Table1[[#This Row],[Tegevusala kood]],Table4[[Tegevusala kood]:[Tegevusala alanimetus]],2,FALSE)</f>
        <v>Ulvi Kodu</v>
      </c>
      <c r="O1389" s="68" t="s">
        <v>1</v>
      </c>
      <c r="P1389" s="68" t="s">
        <v>1</v>
      </c>
      <c r="Q1389" s="68" t="str">
        <f>VLOOKUP(Table1[[#This Row],[Eelarvekonto]],Table5[[Konto]:[Kontode alanimetus]],5,FALSE)</f>
        <v>Tööjõukulud</v>
      </c>
      <c r="R1389" s="42" t="str">
        <f>VLOOKUP(Table1[[#This Row],[Tegevusala kood]],Table4[[Tegevusala kood]:[Tegevusala alanimetus]],4,FALSE)</f>
        <v>Eakate sotsiaalhoolekande asutused</v>
      </c>
      <c r="S1389" s="53"/>
      <c r="T1389" s="53"/>
      <c r="U1389" s="53">
        <f>Table1[[#This Row],[Summa]]+Table1[[#This Row],[I Muudatus]]+Table1[[#This Row],[II Muudatus]]</f>
        <v>21360</v>
      </c>
    </row>
    <row r="1390" spans="1:21" ht="14.25" hidden="1" customHeight="1" x14ac:dyDescent="0.25">
      <c r="A1390" s="42" t="s">
        <v>1314</v>
      </c>
      <c r="B1390" s="42">
        <v>1780</v>
      </c>
      <c r="C1390" s="53">
        <v>5005</v>
      </c>
      <c r="D1390" s="53" t="str">
        <f>LEFT(Table1[[#This Row],[Eelarvekonto]],2)</f>
        <v>50</v>
      </c>
      <c r="E1390" s="42" t="str">
        <f>VLOOKUP(Table1[[#This Row],[Eelarvekonto]],Table5[[Konto]:[Konto nimetus]],2,FALSE)</f>
        <v>Töötasud võlaõiguslike lepingute alusel</v>
      </c>
      <c r="F1390" s="42" t="s">
        <v>139</v>
      </c>
      <c r="G1390" s="42" t="s">
        <v>24</v>
      </c>
      <c r="H1390" s="42"/>
      <c r="I1390" s="42"/>
      <c r="J1390" s="42" t="s">
        <v>147</v>
      </c>
      <c r="K1390" s="42" t="s">
        <v>145</v>
      </c>
      <c r="L1390" s="81" t="s">
        <v>146</v>
      </c>
      <c r="M1390" s="82" t="str">
        <f>LEFT(Table1[[#This Row],[Tegevusala kood]],2)</f>
        <v>10</v>
      </c>
      <c r="N1390" s="53" t="str">
        <f>VLOOKUP(Table1[[#This Row],[Tegevusala kood]],Table4[[Tegevusala kood]:[Tegevusala alanimetus]],2,FALSE)</f>
        <v>Ulvi Kodu</v>
      </c>
      <c r="O1390" s="42"/>
      <c r="P1390" s="42"/>
      <c r="Q1390" s="53" t="str">
        <f>VLOOKUP(Table1[[#This Row],[Eelarvekonto]],Table5[[Konto]:[Kontode alanimetus]],5,FALSE)</f>
        <v>Tööjõukulud</v>
      </c>
      <c r="R1390" s="53" t="str">
        <f>VLOOKUP(Table1[[#This Row],[Tegevusala kood]],Table4[[Tegevusala kood]:[Tegevusala alanimetus]],4,FALSE)</f>
        <v>Eakate sotsiaalhoolekande asutused</v>
      </c>
      <c r="S1390" s="53"/>
      <c r="T1390" s="53"/>
      <c r="U1390" s="53">
        <f>Table1[[#This Row],[Summa]]+Table1[[#This Row],[I Muudatus]]+Table1[[#This Row],[II Muudatus]]</f>
        <v>1780</v>
      </c>
    </row>
    <row r="1391" spans="1:21" ht="14.25" hidden="1" customHeight="1" x14ac:dyDescent="0.25">
      <c r="A1391" s="42" t="s">
        <v>1467</v>
      </c>
      <c r="B1391" s="42">
        <v>478.608</v>
      </c>
      <c r="C1391" s="42">
        <v>506</v>
      </c>
      <c r="D1391" s="53" t="str">
        <f>LEFT(Table1[[#This Row],[Eelarvekonto]],2)</f>
        <v>50</v>
      </c>
      <c r="E1391" s="42" t="str">
        <f>VLOOKUP(Table1[[#This Row],[Eelarvekonto]],Table5[[Konto]:[Konto nimetus]],2,FALSE)</f>
        <v>Tööjõukuludega kaasnevad maksud ja sotsiaalkindlustusmaksed</v>
      </c>
      <c r="F1391" s="98" t="s">
        <v>139</v>
      </c>
      <c r="G1391" s="42" t="s">
        <v>24</v>
      </c>
      <c r="H1391" s="42"/>
      <c r="I1391" s="42"/>
      <c r="J1391" s="42" t="s">
        <v>280</v>
      </c>
      <c r="K1391" s="42" t="s">
        <v>109</v>
      </c>
      <c r="L1391" s="62" t="s">
        <v>279</v>
      </c>
      <c r="M1391" s="100" t="str">
        <f>LEFT(Table1[[#This Row],[Tegevusala kood]],2)</f>
        <v>09</v>
      </c>
      <c r="N1391" s="53" t="str">
        <f>VLOOKUP(Table1[[#This Row],[Tegevusala kood]],Table4[[Tegevusala kood]:[Tegevusala alanimetus]],2,FALSE)</f>
        <v>Laekvere Kool</v>
      </c>
      <c r="O1391" s="42"/>
      <c r="P1391" s="42"/>
      <c r="Q1391" s="53" t="str">
        <f>VLOOKUP(Table1[[#This Row],[Eelarvekonto]],Table5[[Konto]:[Kontode alanimetus]],5,FALSE)</f>
        <v>Tööjõukulud</v>
      </c>
      <c r="R1391" s="53" t="str">
        <f>VLOOKUP(Table1[[#This Row],[Tegevusala kood]],Table4[[Tegevusala kood]:[Tegevusala alanimetus]],4,FALSE)</f>
        <v>Põhihariduse otsekulud</v>
      </c>
      <c r="S1391" s="53"/>
      <c r="T1391" s="53"/>
      <c r="U1391" s="53">
        <f>Table1[[#This Row],[Summa]]+Table1[[#This Row],[I Muudatus]]+Table1[[#This Row],[II Muudatus]]</f>
        <v>478.608</v>
      </c>
    </row>
    <row r="1392" spans="1:21" ht="14.25" hidden="1" customHeight="1" x14ac:dyDescent="0.25">
      <c r="A1392" s="42" t="s">
        <v>1470</v>
      </c>
      <c r="B1392" s="42">
        <v>1297.92</v>
      </c>
      <c r="C1392" s="42">
        <v>506</v>
      </c>
      <c r="D1392" s="53" t="str">
        <f>LEFT(Table1[[#This Row],[Eelarvekonto]],2)</f>
        <v>50</v>
      </c>
      <c r="E1392" s="42" t="str">
        <f>VLOOKUP(Table1[[#This Row],[Eelarvekonto]],Table5[[Konto]:[Konto nimetus]],2,FALSE)</f>
        <v>Tööjõukuludega kaasnevad maksud ja sotsiaalkindlustusmaksed</v>
      </c>
      <c r="F1392" s="98" t="s">
        <v>139</v>
      </c>
      <c r="G1392" s="42" t="s">
        <v>24</v>
      </c>
      <c r="H1392" s="42"/>
      <c r="I1392" s="42"/>
      <c r="J1392" s="98" t="s">
        <v>252</v>
      </c>
      <c r="K1392" s="42" t="s">
        <v>251</v>
      </c>
      <c r="L1392" s="103" t="s">
        <v>250</v>
      </c>
      <c r="M1392" s="100" t="str">
        <f>LEFT(Table1[[#This Row],[Tegevusala kood]],2)</f>
        <v>09</v>
      </c>
      <c r="N1392" s="53" t="str">
        <f>VLOOKUP(Table1[[#This Row],[Tegevusala kood]],Table4[[Tegevusala kood]:[Tegevusala alanimetus]],2,FALSE)</f>
        <v>Vinni-Pajusti Gümnaasium</v>
      </c>
      <c r="O1392" s="42"/>
      <c r="P1392" s="42"/>
      <c r="Q1392" s="53" t="str">
        <f>VLOOKUP(Table1[[#This Row],[Eelarvekonto]],Table5[[Konto]:[Kontode alanimetus]],5,FALSE)</f>
        <v>Tööjõukulud</v>
      </c>
      <c r="R1392" s="53" t="str">
        <f>VLOOKUP(Table1[[#This Row],[Tegevusala kood]],Table4[[Tegevusala kood]:[Tegevusala alanimetus]],4,FALSE)</f>
        <v>Põhihariduse otsekulud</v>
      </c>
      <c r="S1392" s="53"/>
      <c r="T1392" s="53"/>
      <c r="U1392" s="53">
        <f>Table1[[#This Row],[Summa]]+Table1[[#This Row],[I Muudatus]]+Table1[[#This Row],[II Muudatus]]</f>
        <v>1297.92</v>
      </c>
    </row>
    <row r="1393" spans="1:21" ht="14.25" hidden="1" customHeight="1" x14ac:dyDescent="0.25">
      <c r="A1393" s="42" t="s">
        <v>1408</v>
      </c>
      <c r="B1393" s="42">
        <v>811.2</v>
      </c>
      <c r="C1393" s="42">
        <v>506</v>
      </c>
      <c r="D1393" s="53" t="str">
        <f>LEFT(Table1[[#This Row],[Eelarvekonto]],2)</f>
        <v>50</v>
      </c>
      <c r="E1393" s="42" t="str">
        <f>VLOOKUP(Table1[[#This Row],[Eelarvekonto]],Table5[[Konto]:[Konto nimetus]],2,FALSE)</f>
        <v>Tööjõukuludega kaasnevad maksud ja sotsiaalkindlustusmaksed</v>
      </c>
      <c r="F1393" s="98" t="s">
        <v>139</v>
      </c>
      <c r="G1393" s="42" t="s">
        <v>24</v>
      </c>
      <c r="H1393" s="42"/>
      <c r="I1393" s="42"/>
      <c r="J1393" s="98" t="s">
        <v>252</v>
      </c>
      <c r="K1393" s="42" t="s">
        <v>251</v>
      </c>
      <c r="L1393" s="103" t="s">
        <v>250</v>
      </c>
      <c r="M1393" s="100" t="str">
        <f>LEFT(Table1[[#This Row],[Tegevusala kood]],2)</f>
        <v>09</v>
      </c>
      <c r="N1393" s="53" t="str">
        <f>VLOOKUP(Table1[[#This Row],[Tegevusala kood]],Table4[[Tegevusala kood]:[Tegevusala alanimetus]],2,FALSE)</f>
        <v>Vinni-Pajusti Gümnaasium</v>
      </c>
      <c r="O1393" s="42"/>
      <c r="P1393" s="42"/>
      <c r="Q1393" s="53" t="str">
        <f>VLOOKUP(Table1[[#This Row],[Eelarvekonto]],Table5[[Konto]:[Kontode alanimetus]],5,FALSE)</f>
        <v>Tööjõukulud</v>
      </c>
      <c r="R1393" s="53" t="str">
        <f>VLOOKUP(Table1[[#This Row],[Tegevusala kood]],Table4[[Tegevusala kood]:[Tegevusala alanimetus]],4,FALSE)</f>
        <v>Põhihariduse otsekulud</v>
      </c>
      <c r="S1393" s="53"/>
      <c r="T1393" s="53"/>
      <c r="U1393" s="53">
        <f>Table1[[#This Row],[Summa]]+Table1[[#This Row],[I Muudatus]]+Table1[[#This Row],[II Muudatus]]</f>
        <v>811.2</v>
      </c>
    </row>
    <row r="1394" spans="1:21" ht="14.25" hidden="1" customHeight="1" x14ac:dyDescent="0.25">
      <c r="A1394" s="42" t="s">
        <v>1474</v>
      </c>
      <c r="B1394" s="42">
        <v>340.70400000000001</v>
      </c>
      <c r="C1394" s="42">
        <v>506</v>
      </c>
      <c r="D1394" s="53" t="str">
        <f>LEFT(Table1[[#This Row],[Eelarvekonto]],2)</f>
        <v>50</v>
      </c>
      <c r="E1394" s="42" t="str">
        <f>VLOOKUP(Table1[[#This Row],[Eelarvekonto]],Table5[[Konto]:[Konto nimetus]],2,FALSE)</f>
        <v>Tööjõukuludega kaasnevad maksud ja sotsiaalkindlustusmaksed</v>
      </c>
      <c r="F1394" s="98" t="s">
        <v>139</v>
      </c>
      <c r="G1394" s="42" t="s">
        <v>24</v>
      </c>
      <c r="H1394" s="42"/>
      <c r="I1394" s="42"/>
      <c r="J1394" s="42" t="s">
        <v>247</v>
      </c>
      <c r="K1394" s="42" t="s">
        <v>95</v>
      </c>
      <c r="L1394" s="62" t="s">
        <v>246</v>
      </c>
      <c r="M1394" s="100" t="str">
        <f>LEFT(Table1[[#This Row],[Tegevusala kood]],2)</f>
        <v>08</v>
      </c>
      <c r="N1394" s="53" t="str">
        <f>VLOOKUP(Table1[[#This Row],[Tegevusala kood]],Table4[[Tegevusala kood]:[Tegevusala alanimetus]],2,FALSE)</f>
        <v>Laekvere Raamatukogu</v>
      </c>
      <c r="O1394" s="42"/>
      <c r="P1394" s="42"/>
      <c r="Q1394" s="53" t="str">
        <f>VLOOKUP(Table1[[#This Row],[Eelarvekonto]],Table5[[Konto]:[Kontode alanimetus]],5,FALSE)</f>
        <v>Tööjõukulud</v>
      </c>
      <c r="R1394" s="53" t="str">
        <f>VLOOKUP(Table1[[#This Row],[Tegevusala kood]],Table4[[Tegevusala kood]:[Tegevusala alanimetus]],4,FALSE)</f>
        <v>Raamatukogud</v>
      </c>
      <c r="S1394" s="53"/>
      <c r="T1394" s="53"/>
      <c r="U1394" s="53">
        <f>Table1[[#This Row],[Summa]]+Table1[[#This Row],[I Muudatus]]+Table1[[#This Row],[II Muudatus]]</f>
        <v>340.70400000000001</v>
      </c>
    </row>
    <row r="1395" spans="1:21" ht="14.25" hidden="1" customHeight="1" x14ac:dyDescent="0.25">
      <c r="A1395" s="42" t="s">
        <v>1475</v>
      </c>
      <c r="B1395" s="42">
        <v>462.38400000000001</v>
      </c>
      <c r="C1395" s="42">
        <v>506</v>
      </c>
      <c r="D1395" s="53" t="str">
        <f>LEFT(Table1[[#This Row],[Eelarvekonto]],2)</f>
        <v>50</v>
      </c>
      <c r="E1395" s="42" t="str">
        <f>VLOOKUP(Table1[[#This Row],[Eelarvekonto]],Table5[[Konto]:[Konto nimetus]],2,FALSE)</f>
        <v>Tööjõukuludega kaasnevad maksud ja sotsiaalkindlustusmaksed</v>
      </c>
      <c r="F1395" s="98" t="s">
        <v>139</v>
      </c>
      <c r="G1395" s="42" t="s">
        <v>24</v>
      </c>
      <c r="H1395" s="42"/>
      <c r="I1395" s="42"/>
      <c r="J1395" s="42" t="s">
        <v>247</v>
      </c>
      <c r="K1395" s="42" t="s">
        <v>95</v>
      </c>
      <c r="L1395" s="62" t="s">
        <v>246</v>
      </c>
      <c r="M1395" s="100" t="str">
        <f>LEFT(Table1[[#This Row],[Tegevusala kood]],2)</f>
        <v>08</v>
      </c>
      <c r="N1395" s="53" t="str">
        <f>VLOOKUP(Table1[[#This Row],[Tegevusala kood]],Table4[[Tegevusala kood]:[Tegevusala alanimetus]],2,FALSE)</f>
        <v>Laekvere Raamatukogu</v>
      </c>
      <c r="O1395" s="42"/>
      <c r="P1395" s="42"/>
      <c r="Q1395" s="53" t="str">
        <f>VLOOKUP(Table1[[#This Row],[Eelarvekonto]],Table5[[Konto]:[Kontode alanimetus]],5,FALSE)</f>
        <v>Tööjõukulud</v>
      </c>
      <c r="R1395" s="53" t="str">
        <f>VLOOKUP(Table1[[#This Row],[Tegevusala kood]],Table4[[Tegevusala kood]:[Tegevusala alanimetus]],4,FALSE)</f>
        <v>Raamatukogud</v>
      </c>
      <c r="S1395" s="53"/>
      <c r="T1395" s="53"/>
      <c r="U1395" s="53">
        <f>Table1[[#This Row],[Summa]]+Table1[[#This Row],[I Muudatus]]+Table1[[#This Row],[II Muudatus]]</f>
        <v>462.38400000000001</v>
      </c>
    </row>
    <row r="1396" spans="1:21" ht="14.25" hidden="1" customHeight="1" x14ac:dyDescent="0.25">
      <c r="A1396" s="42" t="s">
        <v>1409</v>
      </c>
      <c r="B1396" s="42">
        <v>150</v>
      </c>
      <c r="C1396" s="42">
        <v>5504</v>
      </c>
      <c r="D1396" s="53" t="str">
        <f>LEFT(Table1[[#This Row],[Eelarvekonto]],2)</f>
        <v>55</v>
      </c>
      <c r="E1396" s="42" t="str">
        <f>VLOOKUP(Table1[[#This Row],[Eelarvekonto]],Table5[[Konto]:[Konto nimetus]],2,FALSE)</f>
        <v>Koolituskulud (sh koolituslähetus)</v>
      </c>
      <c r="F1396" s="68" t="s">
        <v>139</v>
      </c>
      <c r="G1396" s="68" t="s">
        <v>24</v>
      </c>
      <c r="H1396" s="68"/>
      <c r="I1396" s="68"/>
      <c r="J1396" s="68" t="s">
        <v>226</v>
      </c>
      <c r="K1396" s="68" t="s">
        <v>224</v>
      </c>
      <c r="L1396" s="58" t="s">
        <v>310</v>
      </c>
      <c r="M1396" s="100" t="str">
        <f>LEFT(Table1[[#This Row],[Tegevusala kood]],2)</f>
        <v>06</v>
      </c>
      <c r="N1396" s="53" t="str">
        <f>VLOOKUP(Table1[[#This Row],[Tegevusala kood]],Table4[[Tegevusala kood]:[Tegevusala alanimetus]],2,FALSE)</f>
        <v>Ulvi, Vinni-Pajusti teeninduspiirkond</v>
      </c>
      <c r="O1396" s="42"/>
      <c r="P1396" s="42"/>
      <c r="Q1396" s="53" t="str">
        <f>VLOOKUP(Table1[[#This Row],[Eelarvekonto]],Table5[[Konto]:[Kontode alanimetus]],5,FALSE)</f>
        <v>Majandamiskulud</v>
      </c>
      <c r="R1396" s="53" t="str">
        <f>VLOOKUP(Table1[[#This Row],[Tegevusala kood]],Table4[[Tegevusala kood]:[Tegevusala alanimetus]],4,FALSE)</f>
        <v>Muu elamu- ja kommunaalmajanduse tegevus</v>
      </c>
      <c r="S1396" s="53"/>
      <c r="T1396" s="53"/>
      <c r="U1396" s="53">
        <f>Table1[[#This Row],[Summa]]+Table1[[#This Row],[I Muudatus]]+Table1[[#This Row],[II Muudatus]]</f>
        <v>150</v>
      </c>
    </row>
    <row r="1397" spans="1:21" ht="14.25" hidden="1" customHeight="1" x14ac:dyDescent="0.25">
      <c r="A1397" s="42" t="s">
        <v>143</v>
      </c>
      <c r="B1397" s="42">
        <v>400</v>
      </c>
      <c r="C1397" s="42">
        <v>5511</v>
      </c>
      <c r="D1397" s="53" t="str">
        <f>LEFT(Table1[[#This Row],[Eelarvekonto]],2)</f>
        <v>55</v>
      </c>
      <c r="E1397" s="68" t="str">
        <f>VLOOKUP(Table1[[#This Row],[Eelarvekonto]],Table5[[Konto]:[Konto nimetus]],2,FALSE)</f>
        <v>Kinnistute, hoonete ja ruumide majandamiskulud</v>
      </c>
      <c r="F1397" s="68" t="s">
        <v>139</v>
      </c>
      <c r="G1397" s="68" t="s">
        <v>24</v>
      </c>
      <c r="H1397" s="68"/>
      <c r="I1397" s="68"/>
      <c r="J1397" s="68" t="s">
        <v>226</v>
      </c>
      <c r="K1397" s="68" t="s">
        <v>224</v>
      </c>
      <c r="L1397" s="58" t="s">
        <v>310</v>
      </c>
      <c r="M1397" s="100" t="str">
        <f>LEFT(Table1[[#This Row],[Tegevusala kood]],2)</f>
        <v>06</v>
      </c>
      <c r="N1397" s="53" t="str">
        <f>VLOOKUP(Table1[[#This Row],[Tegevusala kood]],Table4[[Tegevusala kood]:[Tegevusala alanimetus]],2,FALSE)</f>
        <v>Ulvi, Vinni-Pajusti teeninduspiirkond</v>
      </c>
      <c r="O1397" s="42"/>
      <c r="P1397" s="42"/>
      <c r="Q1397" s="53" t="str">
        <f>VLOOKUP(Table1[[#This Row],[Eelarvekonto]],Table5[[Konto]:[Kontode alanimetus]],5,FALSE)</f>
        <v>Majandamiskulud</v>
      </c>
      <c r="R1397" s="53" t="str">
        <f>VLOOKUP(Table1[[#This Row],[Tegevusala kood]],Table4[[Tegevusala kood]:[Tegevusala alanimetus]],4,FALSE)</f>
        <v>Muu elamu- ja kommunaalmajanduse tegevus</v>
      </c>
      <c r="S1397" s="53"/>
      <c r="T1397" s="53"/>
      <c r="U1397" s="53">
        <f>Table1[[#This Row],[Summa]]+Table1[[#This Row],[I Muudatus]]+Table1[[#This Row],[II Muudatus]]</f>
        <v>400</v>
      </c>
    </row>
    <row r="1398" spans="1:21" ht="14.25" hidden="1" customHeight="1" x14ac:dyDescent="0.25">
      <c r="A1398" s="42" t="s">
        <v>452</v>
      </c>
      <c r="B1398" s="42">
        <v>250</v>
      </c>
      <c r="C1398" s="42">
        <v>5515</v>
      </c>
      <c r="D1398" s="53" t="str">
        <f>LEFT(Table1[[#This Row],[Eelarvekonto]],2)</f>
        <v>55</v>
      </c>
      <c r="E1398" s="42" t="str">
        <f>VLOOKUP(Table1[[#This Row],[Eelarvekonto]],Table5[[Konto]:[Konto nimetus]],2,FALSE)</f>
        <v>Inventari majandamiskulud</v>
      </c>
      <c r="F1398" s="68" t="s">
        <v>139</v>
      </c>
      <c r="G1398" s="68" t="s">
        <v>24</v>
      </c>
      <c r="H1398" s="68"/>
      <c r="I1398" s="68"/>
      <c r="J1398" s="68" t="s">
        <v>226</v>
      </c>
      <c r="K1398" s="68" t="s">
        <v>224</v>
      </c>
      <c r="L1398" s="58" t="s">
        <v>310</v>
      </c>
      <c r="M1398" s="100" t="str">
        <f>LEFT(Table1[[#This Row],[Tegevusala kood]],2)</f>
        <v>06</v>
      </c>
      <c r="N1398" s="53" t="str">
        <f>VLOOKUP(Table1[[#This Row],[Tegevusala kood]],Table4[[Tegevusala kood]:[Tegevusala alanimetus]],2,FALSE)</f>
        <v>Ulvi, Vinni-Pajusti teeninduspiirkond</v>
      </c>
      <c r="O1398" s="42"/>
      <c r="P1398" s="42"/>
      <c r="Q1398" s="53" t="str">
        <f>VLOOKUP(Table1[[#This Row],[Eelarvekonto]],Table5[[Konto]:[Kontode alanimetus]],5,FALSE)</f>
        <v>Majandamiskulud</v>
      </c>
      <c r="R1398" s="53" t="str">
        <f>VLOOKUP(Table1[[#This Row],[Tegevusala kood]],Table4[[Tegevusala kood]:[Tegevusala alanimetus]],4,FALSE)</f>
        <v>Muu elamu- ja kommunaalmajanduse tegevus</v>
      </c>
      <c r="S1398" s="53"/>
      <c r="T1398" s="53"/>
      <c r="U1398" s="53">
        <f>Table1[[#This Row],[Summa]]+Table1[[#This Row],[I Muudatus]]+Table1[[#This Row],[II Muudatus]]</f>
        <v>250</v>
      </c>
    </row>
    <row r="1399" spans="1:21" ht="14.25" hidden="1" customHeight="1" x14ac:dyDescent="0.25">
      <c r="A1399" s="42" t="s">
        <v>286</v>
      </c>
      <c r="B1399" s="42">
        <v>200</v>
      </c>
      <c r="C1399" s="42">
        <v>5525</v>
      </c>
      <c r="D1399" s="53" t="str">
        <f>LEFT(Table1[[#This Row],[Eelarvekonto]],2)</f>
        <v>55</v>
      </c>
      <c r="E1399" s="42" t="str">
        <f>VLOOKUP(Table1[[#This Row],[Eelarvekonto]],Table5[[Konto]:[Konto nimetus]],2,FALSE)</f>
        <v>Kommunikatsiooni-, kultuuri- ja vaba aja sisustamise kulud</v>
      </c>
      <c r="F1399" s="68" t="s">
        <v>139</v>
      </c>
      <c r="G1399" s="68" t="s">
        <v>24</v>
      </c>
      <c r="H1399" s="68"/>
      <c r="I1399" s="68"/>
      <c r="J1399" s="68" t="s">
        <v>226</v>
      </c>
      <c r="K1399" s="68" t="s">
        <v>224</v>
      </c>
      <c r="L1399" s="58" t="s">
        <v>310</v>
      </c>
      <c r="M1399" s="100" t="str">
        <f>LEFT(Table1[[#This Row],[Tegevusala kood]],2)</f>
        <v>06</v>
      </c>
      <c r="N1399" s="53" t="str">
        <f>VLOOKUP(Table1[[#This Row],[Tegevusala kood]],Table4[[Tegevusala kood]:[Tegevusala alanimetus]],2,FALSE)</f>
        <v>Ulvi, Vinni-Pajusti teeninduspiirkond</v>
      </c>
      <c r="O1399" s="42"/>
      <c r="P1399" s="42"/>
      <c r="Q1399" s="53" t="str">
        <f>VLOOKUP(Table1[[#This Row],[Eelarvekonto]],Table5[[Konto]:[Kontode alanimetus]],5,FALSE)</f>
        <v>Majandamiskulud</v>
      </c>
      <c r="R1399" s="53" t="str">
        <f>VLOOKUP(Table1[[#This Row],[Tegevusala kood]],Table4[[Tegevusala kood]:[Tegevusala alanimetus]],4,FALSE)</f>
        <v>Muu elamu- ja kommunaalmajanduse tegevus</v>
      </c>
      <c r="S1399" s="53"/>
      <c r="T1399" s="53"/>
      <c r="U1399" s="53">
        <f>Table1[[#This Row],[Summa]]+Table1[[#This Row],[I Muudatus]]+Table1[[#This Row],[II Muudatus]]</f>
        <v>200</v>
      </c>
    </row>
    <row r="1400" spans="1:21" ht="14.25" hidden="1" customHeight="1" x14ac:dyDescent="0.25">
      <c r="A1400" s="42" t="s">
        <v>1410</v>
      </c>
      <c r="B1400" s="42">
        <v>101.4</v>
      </c>
      <c r="C1400" s="42">
        <v>506</v>
      </c>
      <c r="D1400" s="53" t="str">
        <f>LEFT(Table1[[#This Row],[Eelarvekonto]],2)</f>
        <v>50</v>
      </c>
      <c r="E1400" s="68" t="str">
        <f>VLOOKUP(Table1[[#This Row],[Eelarvekonto]],Table5[[Konto]:[Konto nimetus]],2,FALSE)</f>
        <v>Tööjõukuludega kaasnevad maksud ja sotsiaalkindlustusmaksed</v>
      </c>
      <c r="F1400" s="42" t="s">
        <v>139</v>
      </c>
      <c r="G1400" s="42" t="s">
        <v>24</v>
      </c>
      <c r="H1400" s="42"/>
      <c r="I1400" s="42"/>
      <c r="J1400" s="42" t="s">
        <v>181</v>
      </c>
      <c r="K1400" s="42" t="s">
        <v>179</v>
      </c>
      <c r="L1400" s="81" t="s">
        <v>180</v>
      </c>
      <c r="M1400" s="100" t="str">
        <f>LEFT(Table1[[#This Row],[Tegevusala kood]],2)</f>
        <v>08</v>
      </c>
      <c r="N1400" s="53" t="str">
        <f>VLOOKUP(Table1[[#This Row],[Tegevusala kood]],Table4[[Tegevusala kood]:[Tegevusala alanimetus]],2,FALSE)</f>
        <v>Muuga Spordihoone</v>
      </c>
      <c r="O1400" s="42"/>
      <c r="P1400" s="42"/>
      <c r="Q1400" s="53" t="str">
        <f>VLOOKUP(Table1[[#This Row],[Eelarvekonto]],Table5[[Konto]:[Kontode alanimetus]],5,FALSE)</f>
        <v>Tööjõukulud</v>
      </c>
      <c r="R1400" s="53" t="str">
        <f>VLOOKUP(Table1[[#This Row],[Tegevusala kood]],Table4[[Tegevusala kood]:[Tegevusala alanimetus]],4,FALSE)</f>
        <v>Sport</v>
      </c>
      <c r="S1400" s="53"/>
      <c r="T1400" s="53"/>
      <c r="U1400" s="53">
        <f>Table1[[#This Row],[Summa]]+Table1[[#This Row],[I Muudatus]]+Table1[[#This Row],[II Muudatus]]</f>
        <v>101.4</v>
      </c>
    </row>
    <row r="1401" spans="1:21" ht="14.25" hidden="1" customHeight="1" x14ac:dyDescent="0.25">
      <c r="A1401" s="42" t="s">
        <v>1411</v>
      </c>
      <c r="B1401" s="42">
        <v>300</v>
      </c>
      <c r="C1401" s="42">
        <v>5005</v>
      </c>
      <c r="D1401" s="53" t="str">
        <f>LEFT(Table1[[#This Row],[Eelarvekonto]],2)</f>
        <v>50</v>
      </c>
      <c r="E1401" s="42" t="str">
        <f>VLOOKUP(Table1[[#This Row],[Eelarvekonto]],Table5[[Konto]:[Konto nimetus]],2,FALSE)</f>
        <v>Töötasud võlaõiguslike lepingute alusel</v>
      </c>
      <c r="F1401" s="42" t="s">
        <v>139</v>
      </c>
      <c r="G1401" s="42" t="s">
        <v>24</v>
      </c>
      <c r="H1401" s="42"/>
      <c r="I1401" s="42"/>
      <c r="J1401" s="42" t="s">
        <v>181</v>
      </c>
      <c r="K1401" s="42" t="s">
        <v>179</v>
      </c>
      <c r="L1401" s="81" t="s">
        <v>180</v>
      </c>
      <c r="M1401" s="100" t="str">
        <f>LEFT(Table1[[#This Row],[Tegevusala kood]],2)</f>
        <v>08</v>
      </c>
      <c r="N1401" s="53" t="str">
        <f>VLOOKUP(Table1[[#This Row],[Tegevusala kood]],Table4[[Tegevusala kood]:[Tegevusala alanimetus]],2,FALSE)</f>
        <v>Muuga Spordihoone</v>
      </c>
      <c r="O1401" s="42"/>
      <c r="P1401" s="42"/>
      <c r="Q1401" s="53" t="str">
        <f>VLOOKUP(Table1[[#This Row],[Eelarvekonto]],Table5[[Konto]:[Kontode alanimetus]],5,FALSE)</f>
        <v>Tööjõukulud</v>
      </c>
      <c r="R1401" s="53" t="str">
        <f>VLOOKUP(Table1[[#This Row],[Tegevusala kood]],Table4[[Tegevusala kood]:[Tegevusala alanimetus]],4,FALSE)</f>
        <v>Sport</v>
      </c>
      <c r="S1401" s="53"/>
      <c r="T1401" s="53"/>
      <c r="U1401" s="53">
        <f>Table1[[#This Row],[Summa]]+Table1[[#This Row],[I Muudatus]]+Table1[[#This Row],[II Muudatus]]</f>
        <v>300</v>
      </c>
    </row>
    <row r="1402" spans="1:21" ht="14.25" hidden="1" customHeight="1" x14ac:dyDescent="0.25">
      <c r="A1402" s="42" t="s">
        <v>1413</v>
      </c>
      <c r="B1402" s="42">
        <v>100</v>
      </c>
      <c r="C1402" s="42">
        <v>5503</v>
      </c>
      <c r="D1402" s="53" t="str">
        <f>LEFT(Table1[[#This Row],[Eelarvekonto]],2)</f>
        <v>55</v>
      </c>
      <c r="E1402" s="42" t="str">
        <f>VLOOKUP(Table1[[#This Row],[Eelarvekonto]],Table5[[Konto]:[Konto nimetus]],2,FALSE)</f>
        <v>Lähetuskulud (v.a koolituslähetus)</v>
      </c>
      <c r="F1402" s="68" t="s">
        <v>139</v>
      </c>
      <c r="G1402" s="68" t="s">
        <v>24</v>
      </c>
      <c r="H1402" s="68"/>
      <c r="I1402" s="68"/>
      <c r="J1402" s="68" t="s">
        <v>423</v>
      </c>
      <c r="K1402" s="68" t="s">
        <v>422</v>
      </c>
      <c r="L1402" s="58" t="s">
        <v>711</v>
      </c>
      <c r="M1402" s="100" t="str">
        <f>LEFT(Table1[[#This Row],[Tegevusala kood]],2)</f>
        <v>09</v>
      </c>
      <c r="N1402" s="53" t="str">
        <f>VLOOKUP(Table1[[#This Row],[Tegevusala kood]],Table4[[Tegevusala kood]:[Tegevusala alanimetus]],2,FALSE)</f>
        <v>Koolitransport</v>
      </c>
      <c r="O1402" s="42"/>
      <c r="P1402" s="42"/>
      <c r="Q1402" s="53" t="str">
        <f>VLOOKUP(Table1[[#This Row],[Eelarvekonto]],Table5[[Konto]:[Kontode alanimetus]],5,FALSE)</f>
        <v>Majandamiskulud</v>
      </c>
      <c r="R1402" s="53" t="str">
        <f>VLOOKUP(Table1[[#This Row],[Tegevusala kood]],Table4[[Tegevusala kood]:[Tegevusala alanimetus]],4,FALSE)</f>
        <v>Koolitransport</v>
      </c>
      <c r="S1402" s="53"/>
      <c r="T1402" s="53"/>
      <c r="U1402" s="53">
        <f>Table1[[#This Row],[Summa]]+Table1[[#This Row],[I Muudatus]]+Table1[[#This Row],[II Muudatus]]</f>
        <v>100</v>
      </c>
    </row>
    <row r="1403" spans="1:21" ht="14.25" hidden="1" customHeight="1" x14ac:dyDescent="0.25">
      <c r="A1403" s="42" t="s">
        <v>1415</v>
      </c>
      <c r="B1403" s="42">
        <v>1500</v>
      </c>
      <c r="C1403" s="42">
        <v>5513</v>
      </c>
      <c r="D1403" s="53" t="str">
        <f>LEFT(Table1[[#This Row],[Eelarvekonto]],2)</f>
        <v>55</v>
      </c>
      <c r="E1403" s="68" t="str">
        <f>VLOOKUP(Table1[[#This Row],[Eelarvekonto]],Table5[[Konto]:[Konto nimetus]],2,FALSE)</f>
        <v>Sõidukite ülalpidamise kulud</v>
      </c>
      <c r="F1403" s="68" t="s">
        <v>139</v>
      </c>
      <c r="G1403" s="68" t="s">
        <v>24</v>
      </c>
      <c r="H1403" s="68"/>
      <c r="I1403" s="68"/>
      <c r="J1403" s="68" t="s">
        <v>423</v>
      </c>
      <c r="K1403" s="68" t="s">
        <v>422</v>
      </c>
      <c r="L1403" s="58" t="s">
        <v>711</v>
      </c>
      <c r="M1403" s="100" t="str">
        <f>LEFT(Table1[[#This Row],[Tegevusala kood]],2)</f>
        <v>09</v>
      </c>
      <c r="N1403" s="53" t="str">
        <f>VLOOKUP(Table1[[#This Row],[Tegevusala kood]],Table4[[Tegevusala kood]:[Tegevusala alanimetus]],2,FALSE)</f>
        <v>Koolitransport</v>
      </c>
      <c r="O1403" s="42"/>
      <c r="P1403" s="42"/>
      <c r="Q1403" s="53" t="str">
        <f>VLOOKUP(Table1[[#This Row],[Eelarvekonto]],Table5[[Konto]:[Kontode alanimetus]],5,FALSE)</f>
        <v>Majandamiskulud</v>
      </c>
      <c r="R1403" s="53" t="str">
        <f>VLOOKUP(Table1[[#This Row],[Tegevusala kood]],Table4[[Tegevusala kood]:[Tegevusala alanimetus]],4,FALSE)</f>
        <v>Koolitransport</v>
      </c>
      <c r="S1403" s="53"/>
      <c r="T1403" s="53"/>
      <c r="U1403" s="53">
        <f>Table1[[#This Row],[Summa]]+Table1[[#This Row],[I Muudatus]]+Table1[[#This Row],[II Muudatus]]</f>
        <v>1500</v>
      </c>
    </row>
    <row r="1404" spans="1:21" ht="14.25" hidden="1" customHeight="1" x14ac:dyDescent="0.25">
      <c r="A1404" s="42" t="s">
        <v>1248</v>
      </c>
      <c r="B1404" s="42">
        <v>2000</v>
      </c>
      <c r="C1404" s="42">
        <v>5540</v>
      </c>
      <c r="D1404" s="53" t="str">
        <f>LEFT(Table1[[#This Row],[Eelarvekonto]],2)</f>
        <v>55</v>
      </c>
      <c r="E1404" s="42" t="str">
        <f>VLOOKUP(Table1[[#This Row],[Eelarvekonto]],Table5[[Konto]:[Konto nimetus]],2,FALSE)</f>
        <v>Mitmesugused majanduskulud</v>
      </c>
      <c r="F1404" s="68" t="s">
        <v>139</v>
      </c>
      <c r="G1404" s="68" t="s">
        <v>24</v>
      </c>
      <c r="H1404" s="68"/>
      <c r="I1404" s="68"/>
      <c r="J1404" s="68" t="s">
        <v>423</v>
      </c>
      <c r="K1404" s="68" t="s">
        <v>422</v>
      </c>
      <c r="L1404" s="58" t="s">
        <v>711</v>
      </c>
      <c r="M1404" s="100" t="str">
        <f>LEFT(Table1[[#This Row],[Tegevusala kood]],2)</f>
        <v>09</v>
      </c>
      <c r="N1404" s="53" t="str">
        <f>VLOOKUP(Table1[[#This Row],[Tegevusala kood]],Table4[[Tegevusala kood]:[Tegevusala alanimetus]],2,FALSE)</f>
        <v>Koolitransport</v>
      </c>
      <c r="O1404" s="42"/>
      <c r="P1404" s="42"/>
      <c r="Q1404" s="53" t="str">
        <f>VLOOKUP(Table1[[#This Row],[Eelarvekonto]],Table5[[Konto]:[Kontode alanimetus]],5,FALSE)</f>
        <v>Majandamiskulud</v>
      </c>
      <c r="R1404" s="53" t="str">
        <f>VLOOKUP(Table1[[#This Row],[Tegevusala kood]],Table4[[Tegevusala kood]:[Tegevusala alanimetus]],4,FALSE)</f>
        <v>Koolitransport</v>
      </c>
      <c r="S1404" s="53"/>
      <c r="T1404" s="53"/>
      <c r="U1404" s="53">
        <f>Table1[[#This Row],[Summa]]+Table1[[#This Row],[I Muudatus]]+Table1[[#This Row],[II Muudatus]]</f>
        <v>2000</v>
      </c>
    </row>
    <row r="1405" spans="1:21" ht="14.25" hidden="1" customHeight="1" x14ac:dyDescent="0.25">
      <c r="A1405" s="42" t="s">
        <v>1416</v>
      </c>
      <c r="B1405" s="67">
        <v>20830</v>
      </c>
      <c r="C1405" s="52">
        <v>4134</v>
      </c>
      <c r="D1405" s="53" t="str">
        <f>LEFT(Table1[[#This Row],[Eelarvekonto]],2)</f>
        <v>41</v>
      </c>
      <c r="E1405" s="68" t="str">
        <f>VLOOKUP(Table1[[#This Row],[Eelarvekonto]],Table5[[Konto]:[Konto nimetus]],2,FALSE)</f>
        <v>Õppetoetused</v>
      </c>
      <c r="F1405" s="68" t="s">
        <v>139</v>
      </c>
      <c r="G1405" s="68" t="s">
        <v>24</v>
      </c>
      <c r="H1405" s="68"/>
      <c r="I1405" s="68"/>
      <c r="J1405" s="68" t="s">
        <v>423</v>
      </c>
      <c r="K1405" s="68" t="s">
        <v>422</v>
      </c>
      <c r="L1405" s="58" t="s">
        <v>711</v>
      </c>
      <c r="M1405" s="100" t="str">
        <f>LEFT(Table1[[#This Row],[Tegevusala kood]],2)</f>
        <v>09</v>
      </c>
      <c r="N1405" s="53" t="str">
        <f>VLOOKUP(Table1[[#This Row],[Tegevusala kood]],Table4[[Tegevusala kood]:[Tegevusala alanimetus]],2,FALSE)</f>
        <v>Koolitransport</v>
      </c>
      <c r="O1405" s="42"/>
      <c r="P1405" s="42"/>
      <c r="Q1405" s="53" t="str">
        <f>VLOOKUP(Table1[[#This Row],[Eelarvekonto]],Table5[[Konto]:[Kontode alanimetus]],5,FALSE)</f>
        <v>Sotsiaalabitoetused ja muud toetused füüsilistele isikutele</v>
      </c>
      <c r="R1405" s="53" t="str">
        <f>VLOOKUP(Table1[[#This Row],[Tegevusala kood]],Table4[[Tegevusala kood]:[Tegevusala alanimetus]],4,FALSE)</f>
        <v>Koolitransport</v>
      </c>
      <c r="S1405" s="53"/>
      <c r="T1405" s="53"/>
      <c r="U1405" s="53">
        <f>Table1[[#This Row],[Summa]]+Table1[[#This Row],[I Muudatus]]+Table1[[#This Row],[II Muudatus]]</f>
        <v>20830</v>
      </c>
    </row>
    <row r="1406" spans="1:21" ht="14.25" hidden="1" customHeight="1" x14ac:dyDescent="0.25">
      <c r="A1406" s="42" t="s">
        <v>309</v>
      </c>
      <c r="B1406" s="42">
        <v>100</v>
      </c>
      <c r="C1406" s="42">
        <v>5500</v>
      </c>
      <c r="D1406" s="53" t="str">
        <f>LEFT(Table1[[#This Row],[Eelarvekonto]],2)</f>
        <v>55</v>
      </c>
      <c r="E1406" s="42" t="str">
        <f>VLOOKUP(Table1[[#This Row],[Eelarvekonto]],Table5[[Konto]:[Konto nimetus]],2,FALSE)</f>
        <v>Administreerimiskulud</v>
      </c>
      <c r="F1406" s="68" t="s">
        <v>139</v>
      </c>
      <c r="G1406" s="68" t="s">
        <v>24</v>
      </c>
      <c r="H1406" s="68"/>
      <c r="I1406" s="68"/>
      <c r="J1406" s="68" t="s">
        <v>442</v>
      </c>
      <c r="K1406" s="68" t="s">
        <v>441</v>
      </c>
      <c r="L1406" s="58" t="s">
        <v>738</v>
      </c>
      <c r="M1406" s="100" t="str">
        <f>LEFT(Table1[[#This Row],[Tegevusala kood]],2)</f>
        <v>08</v>
      </c>
      <c r="N1406" s="53" t="str">
        <f>VLOOKUP(Table1[[#This Row],[Tegevusala kood]],Table4[[Tegevusala kood]:[Tegevusala alanimetus]],2,FALSE)</f>
        <v>Muu vaba aeg, kultuur, religioon, sh haldus</v>
      </c>
      <c r="O1406" s="42"/>
      <c r="P1406" s="42"/>
      <c r="Q1406" s="53" t="str">
        <f>VLOOKUP(Table1[[#This Row],[Eelarvekonto]],Table5[[Konto]:[Kontode alanimetus]],5,FALSE)</f>
        <v>Majandamiskulud</v>
      </c>
      <c r="R1406" s="53" t="str">
        <f>VLOOKUP(Table1[[#This Row],[Tegevusala kood]],Table4[[Tegevusala kood]:[Tegevusala alanimetus]],4,FALSE)</f>
        <v>Muu vaba aeg, kultuur, religioon, sh haldus</v>
      </c>
      <c r="S1406" s="53"/>
      <c r="T1406" s="53"/>
      <c r="U1406" s="53">
        <f>Table1[[#This Row],[Summa]]+Table1[[#This Row],[I Muudatus]]+Table1[[#This Row],[II Muudatus]]</f>
        <v>100</v>
      </c>
    </row>
    <row r="1407" spans="1:21" ht="14.25" hidden="1" customHeight="1" x14ac:dyDescent="0.25">
      <c r="A1407" s="42" t="s">
        <v>1100</v>
      </c>
      <c r="B1407" s="42">
        <v>300</v>
      </c>
      <c r="C1407" s="42">
        <v>5515</v>
      </c>
      <c r="D1407" s="53" t="str">
        <f>LEFT(Table1[[#This Row],[Eelarvekonto]],2)</f>
        <v>55</v>
      </c>
      <c r="E1407" s="42" t="str">
        <f>VLOOKUP(Table1[[#This Row],[Eelarvekonto]],Table5[[Konto]:[Konto nimetus]],2,FALSE)</f>
        <v>Inventari majandamiskulud</v>
      </c>
      <c r="F1407" s="68" t="s">
        <v>139</v>
      </c>
      <c r="G1407" s="68" t="s">
        <v>24</v>
      </c>
      <c r="H1407" s="68"/>
      <c r="I1407" s="68"/>
      <c r="J1407" s="68" t="s">
        <v>442</v>
      </c>
      <c r="K1407" s="68" t="s">
        <v>441</v>
      </c>
      <c r="L1407" s="58" t="s">
        <v>738</v>
      </c>
      <c r="M1407" s="100" t="str">
        <f>LEFT(Table1[[#This Row],[Tegevusala kood]],2)</f>
        <v>08</v>
      </c>
      <c r="N1407" s="53" t="str">
        <f>VLOOKUP(Table1[[#This Row],[Tegevusala kood]],Table4[[Tegevusala kood]:[Tegevusala alanimetus]],2,FALSE)</f>
        <v>Muu vaba aeg, kultuur, religioon, sh haldus</v>
      </c>
      <c r="O1407" s="42"/>
      <c r="P1407" s="42"/>
      <c r="Q1407" s="53" t="str">
        <f>VLOOKUP(Table1[[#This Row],[Eelarvekonto]],Table5[[Konto]:[Kontode alanimetus]],5,FALSE)</f>
        <v>Majandamiskulud</v>
      </c>
      <c r="R1407" s="53" t="str">
        <f>VLOOKUP(Table1[[#This Row],[Tegevusala kood]],Table4[[Tegevusala kood]:[Tegevusala alanimetus]],4,FALSE)</f>
        <v>Muu vaba aeg, kultuur, religioon, sh haldus</v>
      </c>
      <c r="S1407" s="53"/>
      <c r="T1407" s="53"/>
      <c r="U1407" s="53">
        <f>Table1[[#This Row],[Summa]]+Table1[[#This Row],[I Muudatus]]+Table1[[#This Row],[II Muudatus]]</f>
        <v>300</v>
      </c>
    </row>
    <row r="1408" spans="1:21" ht="14.25" hidden="1" customHeight="1" x14ac:dyDescent="0.25">
      <c r="A1408" s="42" t="s">
        <v>1409</v>
      </c>
      <c r="B1408" s="42">
        <v>400</v>
      </c>
      <c r="C1408" s="42">
        <v>5504</v>
      </c>
      <c r="D1408" s="53" t="str">
        <f>LEFT(Table1[[#This Row],[Eelarvekonto]],2)</f>
        <v>55</v>
      </c>
      <c r="E1408" s="42" t="str">
        <f>VLOOKUP(Table1[[#This Row],[Eelarvekonto]],Table5[[Konto]:[Konto nimetus]],2,FALSE)</f>
        <v>Koolituskulud (sh koolituslähetus)</v>
      </c>
      <c r="F1408" s="68" t="s">
        <v>139</v>
      </c>
      <c r="G1408" s="68" t="s">
        <v>24</v>
      </c>
      <c r="H1408" s="68"/>
      <c r="I1408" s="68"/>
      <c r="J1408" s="68" t="s">
        <v>442</v>
      </c>
      <c r="K1408" s="68" t="s">
        <v>441</v>
      </c>
      <c r="L1408" s="58" t="s">
        <v>738</v>
      </c>
      <c r="M1408" s="100" t="str">
        <f>LEFT(Table1[[#This Row],[Tegevusala kood]],2)</f>
        <v>08</v>
      </c>
      <c r="N1408" s="53" t="str">
        <f>VLOOKUP(Table1[[#This Row],[Tegevusala kood]],Table4[[Tegevusala kood]:[Tegevusala alanimetus]],2,FALSE)</f>
        <v>Muu vaba aeg, kultuur, religioon, sh haldus</v>
      </c>
      <c r="O1408" s="42"/>
      <c r="P1408" s="42"/>
      <c r="Q1408" s="53" t="str">
        <f>VLOOKUP(Table1[[#This Row],[Eelarvekonto]],Table5[[Konto]:[Kontode alanimetus]],5,FALSE)</f>
        <v>Majandamiskulud</v>
      </c>
      <c r="R1408" s="53" t="str">
        <f>VLOOKUP(Table1[[#This Row],[Tegevusala kood]],Table4[[Tegevusala kood]:[Tegevusala alanimetus]],4,FALSE)</f>
        <v>Muu vaba aeg, kultuur, religioon, sh haldus</v>
      </c>
      <c r="S1408" s="53"/>
      <c r="T1408" s="53"/>
      <c r="U1408" s="53">
        <f>Table1[[#This Row],[Summa]]+Table1[[#This Row],[I Muudatus]]+Table1[[#This Row],[II Muudatus]]</f>
        <v>400</v>
      </c>
    </row>
    <row r="1409" spans="1:21" ht="14.25" hidden="1" customHeight="1" x14ac:dyDescent="0.25">
      <c r="A1409" s="42" t="s">
        <v>1417</v>
      </c>
      <c r="B1409" s="42">
        <v>900</v>
      </c>
      <c r="C1409" s="42">
        <v>5511</v>
      </c>
      <c r="D1409" s="53" t="str">
        <f>LEFT(Table1[[#This Row],[Eelarvekonto]],2)</f>
        <v>55</v>
      </c>
      <c r="E1409" s="68" t="str">
        <f>VLOOKUP(Table1[[#This Row],[Eelarvekonto]],Table5[[Konto]:[Konto nimetus]],2,FALSE)</f>
        <v>Kinnistute, hoonete ja ruumide majandamiskulud</v>
      </c>
      <c r="F1409" s="68" t="s">
        <v>139</v>
      </c>
      <c r="G1409" s="68" t="s">
        <v>24</v>
      </c>
      <c r="H1409" s="42"/>
      <c r="I1409" s="42"/>
      <c r="J1409" s="98" t="s">
        <v>433</v>
      </c>
      <c r="K1409" s="42" t="s">
        <v>432</v>
      </c>
      <c r="L1409" s="103" t="s">
        <v>438</v>
      </c>
      <c r="M1409" s="82" t="str">
        <f>LEFT(Table1[[#This Row],[Tegevusala kood]],2)</f>
        <v>08</v>
      </c>
      <c r="N1409" s="53" t="str">
        <f>VLOOKUP(Table1[[#This Row],[Tegevusala kood]],Table4[[Tegevusala kood]:[Tegevusala alanimetus]],2,FALSE)</f>
        <v>Staadion</v>
      </c>
      <c r="O1409" s="42"/>
      <c r="P1409" s="42"/>
      <c r="Q1409" s="53" t="str">
        <f>VLOOKUP(Table1[[#This Row],[Eelarvekonto]],Table5[[Konto]:[Kontode alanimetus]],5,FALSE)</f>
        <v>Majandamiskulud</v>
      </c>
      <c r="R1409" s="53" t="str">
        <f>VLOOKUP(Table1[[#This Row],[Tegevusala kood]],Table4[[Tegevusala kood]:[Tegevusala alanimetus]],4,FALSE)</f>
        <v>Sport</v>
      </c>
      <c r="S1409" s="53"/>
      <c r="T1409" s="53"/>
      <c r="U1409" s="53">
        <f>Table1[[#This Row],[Summa]]+Table1[[#This Row],[I Muudatus]]+Table1[[#This Row],[II Muudatus]]</f>
        <v>900</v>
      </c>
    </row>
    <row r="1410" spans="1:21" ht="14.25" hidden="1" customHeight="1" x14ac:dyDescent="0.25">
      <c r="A1410" s="42" t="s">
        <v>1418</v>
      </c>
      <c r="B1410" s="42">
        <v>1000</v>
      </c>
      <c r="C1410" s="42">
        <v>4500</v>
      </c>
      <c r="D1410" s="53" t="str">
        <f>LEFT(Table1[[#This Row],[Eelarvekonto]],2)</f>
        <v>45</v>
      </c>
      <c r="E1410" s="42" t="str">
        <f>VLOOKUP(Table1[[#This Row],[Eelarvekonto]],Table5[[Konto]:[Konto nimetus]],2,FALSE)</f>
        <v>Antud sihtfinantseerimine tegevuskuludeks</v>
      </c>
      <c r="F1410" s="68" t="s">
        <v>139</v>
      </c>
      <c r="G1410" s="68" t="s">
        <v>24</v>
      </c>
      <c r="H1410" s="42"/>
      <c r="I1410" s="42"/>
      <c r="J1410" s="98" t="s">
        <v>433</v>
      </c>
      <c r="K1410" s="42" t="s">
        <v>432</v>
      </c>
      <c r="L1410" s="103" t="s">
        <v>436</v>
      </c>
      <c r="M1410" s="82" t="str">
        <f>LEFT(Table1[[#This Row],[Tegevusala kood]],2)</f>
        <v>08</v>
      </c>
      <c r="N1410" s="53" t="str">
        <f>VLOOKUP(Table1[[#This Row],[Tegevusala kood]],Table4[[Tegevusala kood]:[Tegevusala alanimetus]],2,FALSE)</f>
        <v>Üritused</v>
      </c>
      <c r="O1410" s="42"/>
      <c r="P1410" s="42"/>
      <c r="Q1410" s="53" t="str">
        <f>VLOOKUP(Table1[[#This Row],[Eelarvekonto]],Table5[[Konto]:[Kontode alanimetus]],5,FALSE)</f>
        <v>Sihtotstarbelised toetused tegevuskuludeks</v>
      </c>
      <c r="R1410" s="53" t="str">
        <f>VLOOKUP(Table1[[#This Row],[Tegevusala kood]],Table4[[Tegevusala kood]:[Tegevusala alanimetus]],4,FALSE)</f>
        <v>Sport</v>
      </c>
      <c r="S1410" s="53"/>
      <c r="T1410" s="53"/>
      <c r="U1410" s="53">
        <f>Table1[[#This Row],[Summa]]+Table1[[#This Row],[I Muudatus]]+Table1[[#This Row],[II Muudatus]]</f>
        <v>1000</v>
      </c>
    </row>
    <row r="1411" spans="1:21" ht="14.25" hidden="1" customHeight="1" x14ac:dyDescent="0.25">
      <c r="A1411" s="42" t="s">
        <v>1419</v>
      </c>
      <c r="B1411" s="42">
        <v>700</v>
      </c>
      <c r="C1411" s="42">
        <v>5525</v>
      </c>
      <c r="D1411" s="53" t="str">
        <f>LEFT(Table1[[#This Row],[Eelarvekonto]],2)</f>
        <v>55</v>
      </c>
      <c r="E1411" s="42" t="str">
        <f>VLOOKUP(Table1[[#This Row],[Eelarvekonto]],Table5[[Konto]:[Konto nimetus]],2,FALSE)</f>
        <v>Kommunikatsiooni-, kultuuri- ja vaba aja sisustamise kulud</v>
      </c>
      <c r="F1411" s="68" t="s">
        <v>139</v>
      </c>
      <c r="G1411" s="68" t="s">
        <v>24</v>
      </c>
      <c r="H1411" s="42"/>
      <c r="I1411" s="42"/>
      <c r="J1411" s="98" t="s">
        <v>433</v>
      </c>
      <c r="K1411" s="42" t="s">
        <v>432</v>
      </c>
      <c r="L1411" s="103" t="s">
        <v>436</v>
      </c>
      <c r="M1411" s="82" t="str">
        <f>LEFT(Table1[[#This Row],[Tegevusala kood]],2)</f>
        <v>08</v>
      </c>
      <c r="N1411" s="53" t="str">
        <f>VLOOKUP(Table1[[#This Row],[Tegevusala kood]],Table4[[Tegevusala kood]:[Tegevusala alanimetus]],2,FALSE)</f>
        <v>Üritused</v>
      </c>
      <c r="O1411" s="42"/>
      <c r="P1411" s="42"/>
      <c r="Q1411" s="53" t="str">
        <f>VLOOKUP(Table1[[#This Row],[Eelarvekonto]],Table5[[Konto]:[Kontode alanimetus]],5,FALSE)</f>
        <v>Majandamiskulud</v>
      </c>
      <c r="R1411" s="53" t="str">
        <f>VLOOKUP(Table1[[#This Row],[Tegevusala kood]],Table4[[Tegevusala kood]:[Tegevusala alanimetus]],4,FALSE)</f>
        <v>Sport</v>
      </c>
      <c r="S1411" s="53"/>
      <c r="T1411" s="53"/>
      <c r="U1411" s="53">
        <f>Table1[[#This Row],[Summa]]+Table1[[#This Row],[I Muudatus]]+Table1[[#This Row],[II Muudatus]]</f>
        <v>700</v>
      </c>
    </row>
    <row r="1412" spans="1:21" ht="14.25" hidden="1" customHeight="1" x14ac:dyDescent="0.25">
      <c r="A1412" s="42" t="s">
        <v>1420</v>
      </c>
      <c r="B1412" s="42">
        <v>600</v>
      </c>
      <c r="C1412" s="42">
        <v>5515</v>
      </c>
      <c r="D1412" s="53" t="str">
        <f>LEFT(Table1[[#This Row],[Eelarvekonto]],2)</f>
        <v>55</v>
      </c>
      <c r="E1412" s="42" t="str">
        <f>VLOOKUP(Table1[[#This Row],[Eelarvekonto]],Table5[[Konto]:[Konto nimetus]],2,FALSE)</f>
        <v>Inventari majandamiskulud</v>
      </c>
      <c r="F1412" s="68" t="s">
        <v>139</v>
      </c>
      <c r="G1412" s="68" t="s">
        <v>24</v>
      </c>
      <c r="H1412" s="42"/>
      <c r="I1412" s="42"/>
      <c r="J1412" s="98" t="s">
        <v>433</v>
      </c>
      <c r="K1412" s="42" t="s">
        <v>432</v>
      </c>
      <c r="L1412" s="103" t="s">
        <v>431</v>
      </c>
      <c r="M1412" s="82" t="str">
        <f>LEFT(Table1[[#This Row],[Tegevusala kood]],2)</f>
        <v>08</v>
      </c>
      <c r="N1412" s="53" t="str">
        <f>VLOOKUP(Table1[[#This Row],[Tegevusala kood]],Table4[[Tegevusala kood]:[Tegevusala alanimetus]],2,FALSE)</f>
        <v>Sporditegevuse haldus</v>
      </c>
      <c r="O1412" s="42"/>
      <c r="P1412" s="42"/>
      <c r="Q1412" s="53" t="str">
        <f>VLOOKUP(Table1[[#This Row],[Eelarvekonto]],Table5[[Konto]:[Kontode alanimetus]],5,FALSE)</f>
        <v>Majandamiskulud</v>
      </c>
      <c r="R1412" s="53" t="str">
        <f>VLOOKUP(Table1[[#This Row],[Tegevusala kood]],Table4[[Tegevusala kood]:[Tegevusala alanimetus]],4,FALSE)</f>
        <v>Sport</v>
      </c>
      <c r="S1412" s="53"/>
      <c r="T1412" s="53"/>
      <c r="U1412" s="53">
        <f>Table1[[#This Row],[Summa]]+Table1[[#This Row],[I Muudatus]]+Table1[[#This Row],[II Muudatus]]</f>
        <v>600</v>
      </c>
    </row>
    <row r="1413" spans="1:21" ht="14.25" hidden="1" customHeight="1" x14ac:dyDescent="0.25">
      <c r="A1413" s="42" t="s">
        <v>1421</v>
      </c>
      <c r="B1413" s="42">
        <v>300</v>
      </c>
      <c r="C1413" s="42">
        <v>551300</v>
      </c>
      <c r="D1413" s="53" t="str">
        <f>LEFT(Table1[[#This Row],[Eelarvekonto]],2)</f>
        <v>55</v>
      </c>
      <c r="E1413" s="42" t="str">
        <f>VLOOKUP(Table1[[#This Row],[Eelarvekonto]],Table5[[Konto]:[Konto nimetus]],2,FALSE)</f>
        <v>Kütus</v>
      </c>
      <c r="F1413" s="68" t="s">
        <v>139</v>
      </c>
      <c r="G1413" s="68" t="s">
        <v>24</v>
      </c>
      <c r="H1413" s="42"/>
      <c r="I1413" s="42"/>
      <c r="J1413" s="98" t="s">
        <v>433</v>
      </c>
      <c r="K1413" s="42" t="s">
        <v>432</v>
      </c>
      <c r="L1413" s="103" t="s">
        <v>431</v>
      </c>
      <c r="M1413" s="82" t="str">
        <f>LEFT(Table1[[#This Row],[Tegevusala kood]],2)</f>
        <v>08</v>
      </c>
      <c r="N1413" s="53" t="str">
        <f>VLOOKUP(Table1[[#This Row],[Tegevusala kood]],Table4[[Tegevusala kood]:[Tegevusala alanimetus]],2,FALSE)</f>
        <v>Sporditegevuse haldus</v>
      </c>
      <c r="O1413" s="42"/>
      <c r="P1413" s="42"/>
      <c r="Q1413" s="53" t="str">
        <f>VLOOKUP(Table1[[#This Row],[Eelarvekonto]],Table5[[Konto]:[Kontode alanimetus]],5,FALSE)</f>
        <v>Majandamiskulud</v>
      </c>
      <c r="R1413" s="53" t="str">
        <f>VLOOKUP(Table1[[#This Row],[Tegevusala kood]],Table4[[Tegevusala kood]:[Tegevusala alanimetus]],4,FALSE)</f>
        <v>Sport</v>
      </c>
      <c r="S1413" s="53"/>
      <c r="T1413" s="53"/>
      <c r="U1413" s="53">
        <f>Table1[[#This Row],[Summa]]+Table1[[#This Row],[I Muudatus]]+Table1[[#This Row],[II Muudatus]]</f>
        <v>300</v>
      </c>
    </row>
    <row r="1414" spans="1:21" ht="14.25" hidden="1" customHeight="1" x14ac:dyDescent="0.25">
      <c r="A1414" s="42" t="s">
        <v>1422</v>
      </c>
      <c r="B1414" s="42">
        <v>100</v>
      </c>
      <c r="C1414" s="42">
        <v>5540</v>
      </c>
      <c r="D1414" s="53" t="str">
        <f>LEFT(Table1[[#This Row],[Eelarvekonto]],2)</f>
        <v>55</v>
      </c>
      <c r="E1414" s="42" t="str">
        <f>VLOOKUP(Table1[[#This Row],[Eelarvekonto]],Table5[[Konto]:[Konto nimetus]],2,FALSE)</f>
        <v>Mitmesugused majanduskulud</v>
      </c>
      <c r="F1414" s="68" t="s">
        <v>139</v>
      </c>
      <c r="G1414" s="68" t="s">
        <v>24</v>
      </c>
      <c r="H1414" s="42"/>
      <c r="I1414" s="42"/>
      <c r="J1414" s="98" t="s">
        <v>433</v>
      </c>
      <c r="K1414" s="42" t="s">
        <v>432</v>
      </c>
      <c r="L1414" s="103" t="s">
        <v>431</v>
      </c>
      <c r="M1414" s="82" t="str">
        <f>LEFT(Table1[[#This Row],[Tegevusala kood]],2)</f>
        <v>08</v>
      </c>
      <c r="N1414" s="53" t="str">
        <f>VLOOKUP(Table1[[#This Row],[Tegevusala kood]],Table4[[Tegevusala kood]:[Tegevusala alanimetus]],2,FALSE)</f>
        <v>Sporditegevuse haldus</v>
      </c>
      <c r="O1414" s="42"/>
      <c r="P1414" s="42"/>
      <c r="Q1414" s="53" t="str">
        <f>VLOOKUP(Table1[[#This Row],[Eelarvekonto]],Table5[[Konto]:[Kontode alanimetus]],5,FALSE)</f>
        <v>Majandamiskulud</v>
      </c>
      <c r="R1414" s="53" t="str">
        <f>VLOOKUP(Table1[[#This Row],[Tegevusala kood]],Table4[[Tegevusala kood]:[Tegevusala alanimetus]],4,FALSE)</f>
        <v>Sport</v>
      </c>
      <c r="S1414" s="53"/>
      <c r="T1414" s="53"/>
      <c r="U1414" s="53">
        <f>Table1[[#This Row],[Summa]]+Table1[[#This Row],[I Muudatus]]+Table1[[#This Row],[II Muudatus]]</f>
        <v>100</v>
      </c>
    </row>
    <row r="1415" spans="1:21" ht="14.25" hidden="1" customHeight="1" x14ac:dyDescent="0.25">
      <c r="A1415" s="42" t="s">
        <v>1427</v>
      </c>
      <c r="B1415" s="42">
        <v>4966</v>
      </c>
      <c r="C1415" s="42">
        <v>5511</v>
      </c>
      <c r="D1415" s="53" t="str">
        <f>LEFT(Table1[[#This Row],[Eelarvekonto]],2)</f>
        <v>55</v>
      </c>
      <c r="E1415" s="42" t="str">
        <f>VLOOKUP(Table1[[#This Row],[Eelarvekonto]],Table5[[Konto]:[Konto nimetus]],2,FALSE)</f>
        <v>Kinnistute, hoonete ja ruumide majandamiskulud</v>
      </c>
      <c r="F1415" s="68" t="s">
        <v>139</v>
      </c>
      <c r="G1415" s="68" t="s">
        <v>24</v>
      </c>
      <c r="H1415" s="42"/>
      <c r="I1415" s="42"/>
      <c r="J1415" s="98" t="s">
        <v>433</v>
      </c>
      <c r="K1415" s="42" t="s">
        <v>432</v>
      </c>
      <c r="L1415" s="105" t="s">
        <v>438</v>
      </c>
      <c r="M1415" s="82" t="str">
        <f>LEFT(Table1[[#This Row],[Tegevusala kood]],2)</f>
        <v>08</v>
      </c>
      <c r="N1415" s="53" t="str">
        <f>VLOOKUP(Table1[[#This Row],[Tegevusala kood]],Table4[[Tegevusala kood]:[Tegevusala alanimetus]],2,FALSE)</f>
        <v>Staadion</v>
      </c>
      <c r="O1415" s="42"/>
      <c r="P1415" s="42"/>
      <c r="Q1415" s="53" t="str">
        <f>VLOOKUP(Table1[[#This Row],[Eelarvekonto]],Table5[[Konto]:[Kontode alanimetus]],5,FALSE)</f>
        <v>Majandamiskulud</v>
      </c>
      <c r="R1415" s="53" t="str">
        <f>VLOOKUP(Table1[[#This Row],[Tegevusala kood]],Table4[[Tegevusala kood]:[Tegevusala alanimetus]],4,FALSE)</f>
        <v>Sport</v>
      </c>
      <c r="S1415" s="53"/>
      <c r="T1415" s="53"/>
      <c r="U1415" s="53">
        <f>Table1[[#This Row],[Summa]]+Table1[[#This Row],[I Muudatus]]+Table1[[#This Row],[II Muudatus]]</f>
        <v>4966</v>
      </c>
    </row>
    <row r="1416" spans="1:21" ht="14.25" hidden="1" customHeight="1" x14ac:dyDescent="0.25">
      <c r="A1416" s="42" t="s">
        <v>1428</v>
      </c>
      <c r="B1416" s="42">
        <v>600</v>
      </c>
      <c r="C1416" s="42">
        <v>4500</v>
      </c>
      <c r="D1416" s="53" t="str">
        <f>LEFT(Table1[[#This Row],[Eelarvekonto]],2)</f>
        <v>45</v>
      </c>
      <c r="E1416" s="53" t="str">
        <f>VLOOKUP(Table1[[#This Row],[Eelarvekonto]],Table5[[Konto]:[Konto nimetus]],2,FALSE)</f>
        <v>Antud sihtfinantseerimine tegevuskuludeks</v>
      </c>
      <c r="F1416" s="68" t="s">
        <v>139</v>
      </c>
      <c r="G1416" s="68" t="s">
        <v>24</v>
      </c>
      <c r="H1416" s="42"/>
      <c r="I1416" s="42"/>
      <c r="J1416" s="98" t="s">
        <v>433</v>
      </c>
      <c r="K1416" s="42" t="s">
        <v>432</v>
      </c>
      <c r="L1416" s="105" t="s">
        <v>436</v>
      </c>
      <c r="M1416" s="104" t="str">
        <f>LEFT(Table1[[#This Row],[Tegevusala kood]],2)</f>
        <v>08</v>
      </c>
      <c r="N1416" s="53" t="str">
        <f>VLOOKUP(Table1[[#This Row],[Tegevusala kood]],Table4[[Tegevusala kood]:[Tegevusala alanimetus]],2,FALSE)</f>
        <v>Üritused</v>
      </c>
      <c r="O1416" s="42"/>
      <c r="P1416" s="42"/>
      <c r="Q1416" s="53" t="str">
        <f>VLOOKUP(Table1[[#This Row],[Eelarvekonto]],Table5[[Konto]:[Kontode alanimetus]],5,FALSE)</f>
        <v>Sihtotstarbelised toetused tegevuskuludeks</v>
      </c>
      <c r="R1416" s="53" t="str">
        <f>VLOOKUP(Table1[[#This Row],[Tegevusala kood]],Table4[[Tegevusala kood]:[Tegevusala alanimetus]],4,FALSE)</f>
        <v>Sport</v>
      </c>
      <c r="S1416" s="53"/>
      <c r="T1416" s="53"/>
      <c r="U1416" s="53">
        <f>Table1[[#This Row],[Summa]]+Table1[[#This Row],[I Muudatus]]+Table1[[#This Row],[II Muudatus]]</f>
        <v>600</v>
      </c>
    </row>
    <row r="1417" spans="1:21" ht="14.25" hidden="1" customHeight="1" x14ac:dyDescent="0.25">
      <c r="A1417" s="42" t="s">
        <v>1429</v>
      </c>
      <c r="B1417" s="42">
        <v>6300</v>
      </c>
      <c r="C1417" s="42">
        <v>5525</v>
      </c>
      <c r="D1417" s="53" t="str">
        <f>LEFT(Table1[[#This Row],[Eelarvekonto]],2)</f>
        <v>55</v>
      </c>
      <c r="E1417" s="53" t="str">
        <f>VLOOKUP(Table1[[#This Row],[Eelarvekonto]],Table5[[Konto]:[Konto nimetus]],2,FALSE)</f>
        <v>Kommunikatsiooni-, kultuuri- ja vaba aja sisustamise kulud</v>
      </c>
      <c r="F1417" s="68" t="s">
        <v>139</v>
      </c>
      <c r="G1417" s="68" t="s">
        <v>24</v>
      </c>
      <c r="H1417" s="42"/>
      <c r="I1417" s="42"/>
      <c r="J1417" s="98" t="s">
        <v>433</v>
      </c>
      <c r="K1417" s="42" t="s">
        <v>432</v>
      </c>
      <c r="L1417" s="105" t="s">
        <v>436</v>
      </c>
      <c r="M1417" s="104" t="str">
        <f>LEFT(Table1[[#This Row],[Tegevusala kood]],2)</f>
        <v>08</v>
      </c>
      <c r="N1417" s="53" t="str">
        <f>VLOOKUP(Table1[[#This Row],[Tegevusala kood]],Table4[[Tegevusala kood]:[Tegevusala alanimetus]],2,FALSE)</f>
        <v>Üritused</v>
      </c>
      <c r="O1417" s="42"/>
      <c r="P1417" s="42"/>
      <c r="Q1417" s="53" t="str">
        <f>VLOOKUP(Table1[[#This Row],[Eelarvekonto]],Table5[[Konto]:[Kontode alanimetus]],5,FALSE)</f>
        <v>Majandamiskulud</v>
      </c>
      <c r="R1417" s="53" t="str">
        <f>VLOOKUP(Table1[[#This Row],[Tegevusala kood]],Table4[[Tegevusala kood]:[Tegevusala alanimetus]],4,FALSE)</f>
        <v>Sport</v>
      </c>
      <c r="S1417" s="53"/>
      <c r="T1417" s="53"/>
      <c r="U1417" s="53">
        <f>Table1[[#This Row],[Summa]]+Table1[[#This Row],[I Muudatus]]+Table1[[#This Row],[II Muudatus]]</f>
        <v>6300</v>
      </c>
    </row>
    <row r="1418" spans="1:21" ht="14.25" hidden="1" customHeight="1" x14ac:dyDescent="0.25">
      <c r="A1418" s="57" t="s">
        <v>1430</v>
      </c>
      <c r="B1418" s="57">
        <v>289</v>
      </c>
      <c r="C1418" s="57">
        <v>5515</v>
      </c>
      <c r="D1418" s="60" t="str">
        <f>LEFT(Table1[[#This Row],[Eelarvekonto]],2)</f>
        <v>55</v>
      </c>
      <c r="E1418" s="60" t="str">
        <f>VLOOKUP(Table1[[#This Row],[Eelarvekonto]],Table5[[Konto]:[Konto nimetus]],2,FALSE)</f>
        <v>Inventari majandamiskulud</v>
      </c>
      <c r="F1418" s="57" t="s">
        <v>139</v>
      </c>
      <c r="G1418" s="57" t="s">
        <v>24</v>
      </c>
      <c r="H1418" s="57"/>
      <c r="I1418" s="57"/>
      <c r="J1418" s="57" t="s">
        <v>235</v>
      </c>
      <c r="K1418" s="57" t="s">
        <v>234</v>
      </c>
      <c r="L1418" s="110" t="s">
        <v>233</v>
      </c>
      <c r="M1418" s="111" t="str">
        <f>LEFT(Table1[[#This Row],[Tegevusala kood]],2)</f>
        <v>08</v>
      </c>
      <c r="N1418" s="60" t="str">
        <f>VLOOKUP(Table1[[#This Row],[Tegevusala kood]],Table4[[Tegevusala kood]:[Tegevusala alanimetus]],2,FALSE)</f>
        <v>Vinni-Pajusti Raamatukogu</v>
      </c>
      <c r="O1418" s="57"/>
      <c r="P1418" s="57"/>
      <c r="Q1418" s="60" t="str">
        <f>VLOOKUP(Table1[[#This Row],[Eelarvekonto]],Table5[[Konto]:[Kontode alanimetus]],5,FALSE)</f>
        <v>Majandamiskulud</v>
      </c>
      <c r="R1418" s="60" t="str">
        <f>VLOOKUP(Table1[[#This Row],[Tegevusala kood]],Table4[[Tegevusala kood]:[Tegevusala alanimetus]],4,FALSE)</f>
        <v>Raamatukogud</v>
      </c>
      <c r="S1418" s="60"/>
      <c r="T1418" s="60"/>
      <c r="U1418" s="60">
        <f>Table1[[#This Row],[Summa]]+Table1[[#This Row],[I Muudatus]]+Table1[[#This Row],[II Muudatus]]</f>
        <v>289</v>
      </c>
    </row>
    <row r="1419" spans="1:21" ht="14.25" hidden="1" customHeight="1" x14ac:dyDescent="0.25">
      <c r="A1419" s="57" t="s">
        <v>1431</v>
      </c>
      <c r="B1419" s="57">
        <v>600</v>
      </c>
      <c r="C1419" s="57">
        <v>5514</v>
      </c>
      <c r="D1419" s="60" t="str">
        <f>LEFT(Table1[[#This Row],[Eelarvekonto]],2)</f>
        <v>55</v>
      </c>
      <c r="E1419" s="60" t="str">
        <f>VLOOKUP(Table1[[#This Row],[Eelarvekonto]],Table5[[Konto]:[Konto nimetus]],2,FALSE)</f>
        <v>Info- ja kommunikatsioonitehnoloogia kulud</v>
      </c>
      <c r="F1419" s="57" t="s">
        <v>139</v>
      </c>
      <c r="G1419" s="57" t="s">
        <v>24</v>
      </c>
      <c r="H1419" s="57"/>
      <c r="I1419" s="57"/>
      <c r="J1419" s="57" t="s">
        <v>235</v>
      </c>
      <c r="K1419" s="57" t="s">
        <v>234</v>
      </c>
      <c r="L1419" s="110" t="s">
        <v>233</v>
      </c>
      <c r="M1419" s="111" t="str">
        <f>LEFT(Table1[[#This Row],[Tegevusala kood]],2)</f>
        <v>08</v>
      </c>
      <c r="N1419" s="60" t="str">
        <f>VLOOKUP(Table1[[#This Row],[Tegevusala kood]],Table4[[Tegevusala kood]:[Tegevusala alanimetus]],2,FALSE)</f>
        <v>Vinni-Pajusti Raamatukogu</v>
      </c>
      <c r="O1419" s="57"/>
      <c r="P1419" s="57"/>
      <c r="Q1419" s="60" t="str">
        <f>VLOOKUP(Table1[[#This Row],[Eelarvekonto]],Table5[[Konto]:[Kontode alanimetus]],5,FALSE)</f>
        <v>Majandamiskulud</v>
      </c>
      <c r="R1419" s="60" t="str">
        <f>VLOOKUP(Table1[[#This Row],[Tegevusala kood]],Table4[[Tegevusala kood]:[Tegevusala alanimetus]],4,FALSE)</f>
        <v>Raamatukogud</v>
      </c>
      <c r="S1419" s="60"/>
      <c r="T1419" s="60"/>
      <c r="U1419" s="60">
        <f>Table1[[#This Row],[Summa]]+Table1[[#This Row],[I Muudatus]]+Table1[[#This Row],[II Muudatus]]</f>
        <v>600</v>
      </c>
    </row>
    <row r="1420" spans="1:21" ht="14.25" hidden="1" customHeight="1" x14ac:dyDescent="0.25">
      <c r="A1420" s="42" t="s">
        <v>1432</v>
      </c>
      <c r="B1420" s="42">
        <v>1400</v>
      </c>
      <c r="C1420" s="42">
        <v>5002</v>
      </c>
      <c r="D1420" s="53" t="str">
        <f>LEFT(Table1[[#This Row],[Eelarvekonto]],2)</f>
        <v>50</v>
      </c>
      <c r="E1420" s="53" t="str">
        <f>VLOOKUP(Table1[[#This Row],[Eelarvekonto]],Table5[[Konto]:[Konto nimetus]],2,FALSE)</f>
        <v>Töötajate töötasud</v>
      </c>
      <c r="F1420" s="42" t="s">
        <v>139</v>
      </c>
      <c r="G1420" s="42" t="s">
        <v>24</v>
      </c>
      <c r="H1420" s="42"/>
      <c r="I1420" s="42"/>
      <c r="J1420" s="42" t="s">
        <v>293</v>
      </c>
      <c r="K1420" s="42" t="s">
        <v>291</v>
      </c>
      <c r="L1420" s="81" t="s">
        <v>292</v>
      </c>
      <c r="M1420" s="104" t="str">
        <f>LEFT(Table1[[#This Row],[Tegevusala kood]],2)</f>
        <v>09</v>
      </c>
      <c r="N1420" s="53" t="str">
        <f>VLOOKUP(Table1[[#This Row],[Tegevusala kood]],Table4[[Tegevusala kood]:[Tegevusala alanimetus]],2,FALSE)</f>
        <v>Pajusti Lasteaed Pajustis</v>
      </c>
      <c r="O1420" s="42"/>
      <c r="P1420" s="42"/>
      <c r="Q1420" s="53" t="str">
        <f>VLOOKUP(Table1[[#This Row],[Eelarvekonto]],Table5[[Konto]:[Kontode alanimetus]],5,FALSE)</f>
        <v>Tööjõukulud</v>
      </c>
      <c r="R1420" s="53" t="str">
        <f>VLOOKUP(Table1[[#This Row],[Tegevusala kood]],Table4[[Tegevusala kood]:[Tegevusala alanimetus]],4,FALSE)</f>
        <v>Alusharidus</v>
      </c>
      <c r="S1420" s="53"/>
      <c r="T1420" s="53"/>
      <c r="U1420" s="53">
        <f>Table1[[#This Row],[Summa]]+Table1[[#This Row],[I Muudatus]]+Table1[[#This Row],[II Muudatus]]</f>
        <v>1400</v>
      </c>
    </row>
    <row r="1421" spans="1:21" ht="14.25" hidden="1" customHeight="1" x14ac:dyDescent="0.25">
      <c r="A1421" s="42" t="s">
        <v>1433</v>
      </c>
      <c r="B1421" s="42">
        <v>473.2</v>
      </c>
      <c r="C1421" s="42">
        <v>506</v>
      </c>
      <c r="D1421" s="53" t="str">
        <f>LEFT(Table1[[#This Row],[Eelarvekonto]],2)</f>
        <v>50</v>
      </c>
      <c r="E1421" s="53" t="str">
        <f>VLOOKUP(Table1[[#This Row],[Eelarvekonto]],Table5[[Konto]:[Konto nimetus]],2,FALSE)</f>
        <v>Tööjõukuludega kaasnevad maksud ja sotsiaalkindlustusmaksed</v>
      </c>
      <c r="F1421" s="42" t="s">
        <v>139</v>
      </c>
      <c r="G1421" s="42" t="s">
        <v>24</v>
      </c>
      <c r="H1421" s="42"/>
      <c r="I1421" s="42"/>
      <c r="J1421" s="42" t="s">
        <v>293</v>
      </c>
      <c r="K1421" s="42" t="s">
        <v>291</v>
      </c>
      <c r="L1421" s="81" t="s">
        <v>292</v>
      </c>
      <c r="M1421" s="104" t="str">
        <f>LEFT(Table1[[#This Row],[Tegevusala kood]],2)</f>
        <v>09</v>
      </c>
      <c r="N1421" s="53" t="str">
        <f>VLOOKUP(Table1[[#This Row],[Tegevusala kood]],Table4[[Tegevusala kood]:[Tegevusala alanimetus]],2,FALSE)</f>
        <v>Pajusti Lasteaed Pajustis</v>
      </c>
      <c r="O1421" s="42"/>
      <c r="P1421" s="42"/>
      <c r="Q1421" s="53" t="str">
        <f>VLOOKUP(Table1[[#This Row],[Eelarvekonto]],Table5[[Konto]:[Kontode alanimetus]],5,FALSE)</f>
        <v>Tööjõukulud</v>
      </c>
      <c r="R1421" s="53" t="str">
        <f>VLOOKUP(Table1[[#This Row],[Tegevusala kood]],Table4[[Tegevusala kood]:[Tegevusala alanimetus]],4,FALSE)</f>
        <v>Alusharidus</v>
      </c>
      <c r="S1421" s="53"/>
      <c r="T1421" s="53"/>
      <c r="U1421" s="53">
        <f>Table1[[#This Row],[Summa]]+Table1[[#This Row],[I Muudatus]]+Table1[[#This Row],[II Muudatus]]</f>
        <v>473.2</v>
      </c>
    </row>
    <row r="1422" spans="1:21" ht="14.25" hidden="1" customHeight="1" x14ac:dyDescent="0.25">
      <c r="A1422" s="42" t="s">
        <v>1434</v>
      </c>
      <c r="B1422" s="42">
        <v>1000</v>
      </c>
      <c r="C1422" s="42">
        <v>5500</v>
      </c>
      <c r="D1422" s="53" t="str">
        <f>LEFT(Table1[[#This Row],[Eelarvekonto]],2)</f>
        <v>55</v>
      </c>
      <c r="E1422" s="53" t="str">
        <f>VLOOKUP(Table1[[#This Row],[Eelarvekonto]],Table5[[Konto]:[Konto nimetus]],2,FALSE)</f>
        <v>Administreerimiskulud</v>
      </c>
      <c r="F1422" s="42" t="s">
        <v>139</v>
      </c>
      <c r="G1422" s="42" t="s">
        <v>24</v>
      </c>
      <c r="H1422" s="42"/>
      <c r="I1422" s="42"/>
      <c r="J1422" s="42" t="s">
        <v>245</v>
      </c>
      <c r="K1422" s="42" t="s">
        <v>244</v>
      </c>
      <c r="L1422" s="81" t="s">
        <v>243</v>
      </c>
      <c r="M1422" s="82" t="str">
        <f>LEFT(Table1[[#This Row],[Tegevusala kood]],2)</f>
        <v>08</v>
      </c>
      <c r="N1422" s="53" t="str">
        <f>VLOOKUP(Table1[[#This Row],[Tegevusala kood]],Table4[[Tegevusala kood]:[Tegevusala alanimetus]],2,FALSE)</f>
        <v>Roela Raamatukogu</v>
      </c>
      <c r="O1422" s="42"/>
      <c r="P1422" s="42"/>
      <c r="Q1422" s="53" t="str">
        <f>VLOOKUP(Table1[[#This Row],[Eelarvekonto]],Table5[[Konto]:[Kontode alanimetus]],5,FALSE)</f>
        <v>Majandamiskulud</v>
      </c>
      <c r="R1422" s="53" t="str">
        <f>VLOOKUP(Table1[[#This Row],[Tegevusala kood]],Table4[[Tegevusala kood]:[Tegevusala alanimetus]],4,FALSE)</f>
        <v>Raamatukogud</v>
      </c>
      <c r="S1422" s="53"/>
      <c r="T1422" s="53"/>
      <c r="U1422" s="53">
        <f>Table1[[#This Row],[Summa]]+Table1[[#This Row],[I Muudatus]]+Table1[[#This Row],[II Muudatus]]</f>
        <v>1000</v>
      </c>
    </row>
    <row r="1423" spans="1:21" ht="14.25" hidden="1" customHeight="1" x14ac:dyDescent="0.25">
      <c r="A1423" s="42" t="s">
        <v>1435</v>
      </c>
      <c r="B1423" s="42">
        <v>200</v>
      </c>
      <c r="C1423" s="42">
        <v>5511</v>
      </c>
      <c r="D1423" s="53" t="str">
        <f>LEFT(Table1[[#This Row],[Eelarvekonto]],2)</f>
        <v>55</v>
      </c>
      <c r="E1423" s="53" t="str">
        <f>VLOOKUP(Table1[[#This Row],[Eelarvekonto]],Table5[[Konto]:[Konto nimetus]],2,FALSE)</f>
        <v>Kinnistute, hoonete ja ruumide majandamiskulud</v>
      </c>
      <c r="F1423" s="42" t="s">
        <v>139</v>
      </c>
      <c r="G1423" s="42" t="s">
        <v>24</v>
      </c>
      <c r="H1423" s="42"/>
      <c r="I1423" s="42"/>
      <c r="J1423" s="42" t="s">
        <v>242</v>
      </c>
      <c r="K1423" s="42" t="s">
        <v>241</v>
      </c>
      <c r="L1423" s="81" t="s">
        <v>240</v>
      </c>
      <c r="M1423" s="82" t="str">
        <f>LEFT(Table1[[#This Row],[Tegevusala kood]],2)</f>
        <v>08</v>
      </c>
      <c r="N1423" s="53" t="str">
        <f>VLOOKUP(Table1[[#This Row],[Tegevusala kood]],Table4[[Tegevusala kood]:[Tegevusala alanimetus]],2,FALSE)</f>
        <v>Tudu Raamatukogu</v>
      </c>
      <c r="O1423" s="42"/>
      <c r="P1423" s="42"/>
      <c r="Q1423" s="53" t="str">
        <f>VLOOKUP(Table1[[#This Row],[Eelarvekonto]],Table5[[Konto]:[Kontode alanimetus]],5,FALSE)</f>
        <v>Majandamiskulud</v>
      </c>
      <c r="R1423" s="53" t="str">
        <f>VLOOKUP(Table1[[#This Row],[Tegevusala kood]],Table4[[Tegevusala kood]:[Tegevusala alanimetus]],4,FALSE)</f>
        <v>Raamatukogud</v>
      </c>
      <c r="S1423" s="53"/>
      <c r="T1423" s="53"/>
      <c r="U1423" s="53">
        <f>Table1[[#This Row],[Summa]]+Table1[[#This Row],[I Muudatus]]+Table1[[#This Row],[II Muudatus]]</f>
        <v>200</v>
      </c>
    </row>
    <row r="1424" spans="1:21" ht="14.25" hidden="1" customHeight="1" x14ac:dyDescent="0.25">
      <c r="A1424" s="42" t="s">
        <v>1436</v>
      </c>
      <c r="B1424" s="42">
        <v>600</v>
      </c>
      <c r="C1424" s="42">
        <v>5525</v>
      </c>
      <c r="D1424" s="53" t="str">
        <f>LEFT(Table1[[#This Row],[Eelarvekonto]],2)</f>
        <v>55</v>
      </c>
      <c r="E1424" s="53" t="str">
        <f>VLOOKUP(Table1[[#This Row],[Eelarvekonto]],Table5[[Konto]:[Konto nimetus]],2,FALSE)</f>
        <v>Kommunikatsiooni-, kultuuri- ja vaba aja sisustamise kulud</v>
      </c>
      <c r="F1424" s="42" t="s">
        <v>139</v>
      </c>
      <c r="G1424" s="42" t="s">
        <v>24</v>
      </c>
      <c r="H1424" s="42"/>
      <c r="I1424" s="42"/>
      <c r="J1424" s="42" t="s">
        <v>238</v>
      </c>
      <c r="K1424" s="42" t="s">
        <v>94</v>
      </c>
      <c r="L1424" s="81" t="s">
        <v>237</v>
      </c>
      <c r="M1424" s="104" t="str">
        <f>LEFT(Table1[[#This Row],[Tegevusala kood]],2)</f>
        <v>08</v>
      </c>
      <c r="N1424" s="53" t="str">
        <f>VLOOKUP(Table1[[#This Row],[Tegevusala kood]],Table4[[Tegevusala kood]:[Tegevusala alanimetus]],2,FALSE)</f>
        <v>Ulvi Raamatukogu</v>
      </c>
      <c r="O1424" s="42"/>
      <c r="P1424" s="42"/>
      <c r="Q1424" s="53" t="str">
        <f>VLOOKUP(Table1[[#This Row],[Eelarvekonto]],Table5[[Konto]:[Kontode alanimetus]],5,FALSE)</f>
        <v>Majandamiskulud</v>
      </c>
      <c r="R1424" s="53" t="str">
        <f>VLOOKUP(Table1[[#This Row],[Tegevusala kood]],Table4[[Tegevusala kood]:[Tegevusala alanimetus]],4,FALSE)</f>
        <v>Raamatukogud</v>
      </c>
      <c r="S1424" s="53"/>
      <c r="T1424" s="53"/>
      <c r="U1424" s="53">
        <f>Table1[[#This Row],[Summa]]+Table1[[#This Row],[I Muudatus]]+Table1[[#This Row],[II Muudatus]]</f>
        <v>600</v>
      </c>
    </row>
    <row r="1425" spans="1:21" ht="14.25" hidden="1" customHeight="1" x14ac:dyDescent="0.25">
      <c r="A1425" s="42" t="s">
        <v>1437</v>
      </c>
      <c r="B1425" s="42">
        <v>500</v>
      </c>
      <c r="C1425" s="42">
        <v>5540</v>
      </c>
      <c r="D1425" s="53" t="str">
        <f>LEFT(Table1[[#This Row],[Eelarvekonto]],2)</f>
        <v>55</v>
      </c>
      <c r="E1425" s="53" t="str">
        <f>VLOOKUP(Table1[[#This Row],[Eelarvekonto]],Table5[[Konto]:[Konto nimetus]],2,FALSE)</f>
        <v>Mitmesugused majanduskulud</v>
      </c>
      <c r="F1425" s="42" t="s">
        <v>139</v>
      </c>
      <c r="G1425" s="42" t="s">
        <v>24</v>
      </c>
      <c r="H1425" s="42"/>
      <c r="I1425" s="42"/>
      <c r="J1425" s="42" t="s">
        <v>247</v>
      </c>
      <c r="K1425" s="42" t="s">
        <v>95</v>
      </c>
      <c r="L1425" s="81" t="s">
        <v>246</v>
      </c>
      <c r="M1425" s="104" t="str">
        <f>LEFT(Table1[[#This Row],[Tegevusala kood]],2)</f>
        <v>08</v>
      </c>
      <c r="N1425" s="53" t="str">
        <f>VLOOKUP(Table1[[#This Row],[Tegevusala kood]],Table4[[Tegevusala kood]:[Tegevusala alanimetus]],2,FALSE)</f>
        <v>Laekvere Raamatukogu</v>
      </c>
      <c r="O1425" s="42"/>
      <c r="P1425" s="42"/>
      <c r="Q1425" s="53" t="str">
        <f>VLOOKUP(Table1[[#This Row],[Eelarvekonto]],Table5[[Konto]:[Kontode alanimetus]],5,FALSE)</f>
        <v>Majandamiskulud</v>
      </c>
      <c r="R1425" s="53" t="str">
        <f>VLOOKUP(Table1[[#This Row],[Tegevusala kood]],Table4[[Tegevusala kood]:[Tegevusala alanimetus]],4,FALSE)</f>
        <v>Raamatukogud</v>
      </c>
      <c r="S1425" s="53"/>
      <c r="T1425" s="53"/>
      <c r="U1425" s="53">
        <f>Table1[[#This Row],[Summa]]+Table1[[#This Row],[I Muudatus]]+Table1[[#This Row],[II Muudatus]]</f>
        <v>500</v>
      </c>
    </row>
    <row r="1426" spans="1:21" ht="14.25" hidden="1" customHeight="1" x14ac:dyDescent="0.25">
      <c r="A1426" s="42" t="s">
        <v>1438</v>
      </c>
      <c r="B1426" s="42">
        <v>1000</v>
      </c>
      <c r="C1426" s="42">
        <v>5515</v>
      </c>
      <c r="D1426" s="53" t="str">
        <f>LEFT(Table1[[#This Row],[Eelarvekonto]],2)</f>
        <v>55</v>
      </c>
      <c r="E1426" s="53" t="str">
        <f>VLOOKUP(Table1[[#This Row],[Eelarvekonto]],Table5[[Konto]:[Konto nimetus]],2,FALSE)</f>
        <v>Inventari majandamiskulud</v>
      </c>
      <c r="F1426" s="42" t="s">
        <v>139</v>
      </c>
      <c r="G1426" s="42" t="s">
        <v>24</v>
      </c>
      <c r="H1426" s="42"/>
      <c r="I1426" s="42"/>
      <c r="J1426" s="42" t="s">
        <v>290</v>
      </c>
      <c r="K1426" s="42" t="s">
        <v>288</v>
      </c>
      <c r="L1426" s="81" t="s">
        <v>289</v>
      </c>
      <c r="M1426" s="82" t="str">
        <f>LEFT(Table1[[#This Row],[Tegevusala kood]],2)</f>
        <v>09</v>
      </c>
      <c r="N1426" s="53" t="str">
        <f>VLOOKUP(Table1[[#This Row],[Tegevusala kood]],Table4[[Tegevusala kood]:[Tegevusala alanimetus]],2,FALSE)</f>
        <v>Laekvere Lasteaed</v>
      </c>
      <c r="O1426" s="42"/>
      <c r="P1426" s="42"/>
      <c r="Q1426" s="53" t="str">
        <f>VLOOKUP(Table1[[#This Row],[Eelarvekonto]],Table5[[Konto]:[Kontode alanimetus]],5,FALSE)</f>
        <v>Majandamiskulud</v>
      </c>
      <c r="R1426" s="53" t="str">
        <f>VLOOKUP(Table1[[#This Row],[Tegevusala kood]],Table4[[Tegevusala kood]:[Tegevusala alanimetus]],4,FALSE)</f>
        <v>Alusharidus</v>
      </c>
      <c r="S1426" s="53"/>
      <c r="T1426" s="53"/>
      <c r="U1426" s="53">
        <f>Table1[[#This Row],[Summa]]+Table1[[#This Row],[I Muudatus]]+Table1[[#This Row],[II Muudatus]]</f>
        <v>1000</v>
      </c>
    </row>
    <row r="1427" spans="1:21" ht="14.25" hidden="1" customHeight="1" x14ac:dyDescent="0.25">
      <c r="A1427" s="42" t="s">
        <v>143</v>
      </c>
      <c r="B1427" s="42">
        <v>300</v>
      </c>
      <c r="C1427" s="42">
        <v>5511</v>
      </c>
      <c r="D1427" s="53" t="str">
        <f>LEFT(Table1[[#This Row],[Eelarvekonto]],2)</f>
        <v>55</v>
      </c>
      <c r="E1427" s="53" t="str">
        <f>VLOOKUP(Table1[[#This Row],[Eelarvekonto]],Table5[[Konto]:[Konto nimetus]],2,FALSE)</f>
        <v>Kinnistute, hoonete ja ruumide majandamiskulud</v>
      </c>
      <c r="F1427" s="42" t="s">
        <v>139</v>
      </c>
      <c r="G1427" s="42" t="s">
        <v>24</v>
      </c>
      <c r="H1427" s="42"/>
      <c r="I1427" s="42"/>
      <c r="J1427" s="42" t="s">
        <v>264</v>
      </c>
      <c r="K1427" s="42" t="s">
        <v>263</v>
      </c>
      <c r="L1427" s="81" t="s">
        <v>278</v>
      </c>
      <c r="M1427" s="104" t="str">
        <f>LEFT(Table1[[#This Row],[Tegevusala kood]],2)</f>
        <v>09</v>
      </c>
      <c r="N1427" s="53" t="str">
        <f>VLOOKUP(Table1[[#This Row],[Tegevusala kood]],Table4[[Tegevusala kood]:[Tegevusala alanimetus]],2,FALSE)</f>
        <v>Roela Lasteaed</v>
      </c>
      <c r="O1427" s="42"/>
      <c r="P1427" s="42"/>
      <c r="Q1427" s="53" t="str">
        <f>VLOOKUP(Table1[[#This Row],[Eelarvekonto]],Table5[[Konto]:[Kontode alanimetus]],5,FALSE)</f>
        <v>Majandamiskulud</v>
      </c>
      <c r="R1427" s="53" t="str">
        <f>VLOOKUP(Table1[[#This Row],[Tegevusala kood]],Table4[[Tegevusala kood]:[Tegevusala alanimetus]],4,FALSE)</f>
        <v>Alusharidus</v>
      </c>
      <c r="S1427" s="53"/>
      <c r="T1427" s="53"/>
      <c r="U1427" s="53">
        <f>Table1[[#This Row],[Summa]]+Table1[[#This Row],[I Muudatus]]+Table1[[#This Row],[II Muudatus]]</f>
        <v>300</v>
      </c>
    </row>
    <row r="1428" spans="1:21" ht="14.25" hidden="1" customHeight="1" x14ac:dyDescent="0.25">
      <c r="A1428" s="42" t="s">
        <v>1439</v>
      </c>
      <c r="B1428" s="42">
        <v>200</v>
      </c>
      <c r="C1428" s="42">
        <v>5525</v>
      </c>
      <c r="D1428" s="53" t="str">
        <f>LEFT(Table1[[#This Row],[Eelarvekonto]],2)</f>
        <v>55</v>
      </c>
      <c r="E1428" s="53" t="str">
        <f>VLOOKUP(Table1[[#This Row],[Eelarvekonto]],Table5[[Konto]:[Konto nimetus]],2,FALSE)</f>
        <v>Kommunikatsiooni-, kultuuri- ja vaba aja sisustamise kulud</v>
      </c>
      <c r="F1428" s="42" t="s">
        <v>139</v>
      </c>
      <c r="G1428" s="42" t="s">
        <v>24</v>
      </c>
      <c r="H1428" s="42"/>
      <c r="I1428" s="42"/>
      <c r="J1428" s="42" t="s">
        <v>264</v>
      </c>
      <c r="K1428" s="42" t="s">
        <v>263</v>
      </c>
      <c r="L1428" s="81" t="s">
        <v>278</v>
      </c>
      <c r="M1428" s="104" t="str">
        <f>LEFT(Table1[[#This Row],[Tegevusala kood]],2)</f>
        <v>09</v>
      </c>
      <c r="N1428" s="53" t="str">
        <f>VLOOKUP(Table1[[#This Row],[Tegevusala kood]],Table4[[Tegevusala kood]:[Tegevusala alanimetus]],2,FALSE)</f>
        <v>Roela Lasteaed</v>
      </c>
      <c r="O1428" s="42"/>
      <c r="P1428" s="42"/>
      <c r="Q1428" s="53" t="str">
        <f>VLOOKUP(Table1[[#This Row],[Eelarvekonto]],Table5[[Konto]:[Kontode alanimetus]],5,FALSE)</f>
        <v>Majandamiskulud</v>
      </c>
      <c r="R1428" s="53" t="str">
        <f>VLOOKUP(Table1[[#This Row],[Tegevusala kood]],Table4[[Tegevusala kood]:[Tegevusala alanimetus]],4,FALSE)</f>
        <v>Alusharidus</v>
      </c>
      <c r="S1428" s="53"/>
      <c r="T1428" s="53"/>
      <c r="U1428" s="53">
        <f>Table1[[#This Row],[Summa]]+Table1[[#This Row],[I Muudatus]]+Table1[[#This Row],[II Muudatus]]</f>
        <v>200</v>
      </c>
    </row>
    <row r="1429" spans="1:21" ht="14.25" hidden="1" customHeight="1" x14ac:dyDescent="0.25">
      <c r="A1429" s="42" t="s">
        <v>1440</v>
      </c>
      <c r="B1429" s="42">
        <v>3500</v>
      </c>
      <c r="C1429" s="42">
        <v>5525</v>
      </c>
      <c r="D1429" s="53" t="str">
        <f>LEFT(Table1[[#This Row],[Eelarvekonto]],2)</f>
        <v>55</v>
      </c>
      <c r="E1429" s="53" t="str">
        <f>VLOOKUP(Table1[[#This Row],[Eelarvekonto]],Table5[[Konto]:[Konto nimetus]],2,FALSE)</f>
        <v>Kommunikatsiooni-, kultuuri- ja vaba aja sisustamise kulud</v>
      </c>
      <c r="F1429" s="42" t="s">
        <v>139</v>
      </c>
      <c r="G1429" s="42" t="s">
        <v>24</v>
      </c>
      <c r="H1429" s="42"/>
      <c r="I1429" s="42"/>
      <c r="J1429" s="42" t="s">
        <v>264</v>
      </c>
      <c r="K1429" s="42" t="s">
        <v>263</v>
      </c>
      <c r="L1429" s="81" t="s">
        <v>266</v>
      </c>
      <c r="M1429" s="104" t="str">
        <f>LEFT(Table1[[#This Row],[Tegevusala kood]],2)</f>
        <v>09</v>
      </c>
      <c r="N1429" s="53" t="str">
        <f>VLOOKUP(Table1[[#This Row],[Tegevusala kood]],Table4[[Tegevusala kood]:[Tegevusala alanimetus]],2,FALSE)</f>
        <v>Roela kool</v>
      </c>
      <c r="O1429" s="42"/>
      <c r="P1429" s="42"/>
      <c r="Q1429" s="53" t="str">
        <f>VLOOKUP(Table1[[#This Row],[Eelarvekonto]],Table5[[Konto]:[Kontode alanimetus]],5,FALSE)</f>
        <v>Majandamiskulud</v>
      </c>
      <c r="R1429" s="53" t="str">
        <f>VLOOKUP(Table1[[#This Row],[Tegevusala kood]],Table4[[Tegevusala kood]:[Tegevusala alanimetus]],4,FALSE)</f>
        <v>Põhihariduse otsekulud</v>
      </c>
      <c r="S1429" s="53"/>
      <c r="T1429" s="53"/>
      <c r="U1429" s="53">
        <f>Table1[[#This Row],[Summa]]+Table1[[#This Row],[I Muudatus]]+Table1[[#This Row],[II Muudatus]]</f>
        <v>3500</v>
      </c>
    </row>
    <row r="1430" spans="1:21" ht="14.25" hidden="1" customHeight="1" x14ac:dyDescent="0.25">
      <c r="A1430" s="42" t="s">
        <v>1442</v>
      </c>
      <c r="B1430" s="42">
        <v>500</v>
      </c>
      <c r="C1430" s="42">
        <v>5500</v>
      </c>
      <c r="D1430" s="53" t="str">
        <f>LEFT(Table1[[#This Row],[Eelarvekonto]],2)</f>
        <v>55</v>
      </c>
      <c r="E1430" s="53" t="str">
        <f>VLOOKUP(Table1[[#This Row],[Eelarvekonto]],Table5[[Konto]:[Konto nimetus]],2,FALSE)</f>
        <v>Administreerimiskulud</v>
      </c>
      <c r="F1430" s="68" t="s">
        <v>139</v>
      </c>
      <c r="G1430" s="68" t="s">
        <v>24</v>
      </c>
      <c r="H1430" s="68"/>
      <c r="I1430" s="68"/>
      <c r="J1430" s="68" t="s">
        <v>406</v>
      </c>
      <c r="K1430" s="68" t="s">
        <v>405</v>
      </c>
      <c r="L1430" s="58" t="s">
        <v>404</v>
      </c>
      <c r="M1430" s="104" t="str">
        <f>LEFT(Table1[[#This Row],[Tegevusala kood]],2)</f>
        <v>01</v>
      </c>
      <c r="N1430" s="53" t="str">
        <f>VLOOKUP(Table1[[#This Row],[Tegevusala kood]],Table4[[Tegevusala kood]:[Tegevusala alanimetus]],2,FALSE)</f>
        <v>Valla- ja linnavalitsus</v>
      </c>
      <c r="O1430" s="42"/>
      <c r="P1430" s="42"/>
      <c r="Q1430" s="53" t="str">
        <f>VLOOKUP(Table1[[#This Row],[Eelarvekonto]],Table5[[Konto]:[Kontode alanimetus]],5,FALSE)</f>
        <v>Majandamiskulud</v>
      </c>
      <c r="R1430" s="53" t="str">
        <f>VLOOKUP(Table1[[#This Row],[Tegevusala kood]],Table4[[Tegevusala kood]:[Tegevusala alanimetus]],4,FALSE)</f>
        <v>Valla- ja linnavalitsus</v>
      </c>
      <c r="S1430" s="53"/>
      <c r="T1430" s="53"/>
      <c r="U1430" s="53">
        <f>Table1[[#This Row],[Summa]]+Table1[[#This Row],[I Muudatus]]+Table1[[#This Row],[II Muudatus]]</f>
        <v>500</v>
      </c>
    </row>
    <row r="1431" spans="1:21" ht="14.25" hidden="1" customHeight="1" x14ac:dyDescent="0.25">
      <c r="A1431" s="42" t="s">
        <v>1443</v>
      </c>
      <c r="B1431" s="42">
        <v>1815</v>
      </c>
      <c r="C1431" s="42">
        <v>5500</v>
      </c>
      <c r="D1431" s="53" t="str">
        <f>LEFT(Table1[[#This Row],[Eelarvekonto]],2)</f>
        <v>55</v>
      </c>
      <c r="E1431" s="53" t="str">
        <f>VLOOKUP(Table1[[#This Row],[Eelarvekonto]],Table5[[Konto]:[Konto nimetus]],2,FALSE)</f>
        <v>Administreerimiskulud</v>
      </c>
      <c r="F1431" s="68" t="s">
        <v>139</v>
      </c>
      <c r="G1431" s="68" t="s">
        <v>24</v>
      </c>
      <c r="H1431" s="68"/>
      <c r="I1431" s="68"/>
      <c r="J1431" s="68" t="s">
        <v>139</v>
      </c>
      <c r="K1431" s="68" t="s">
        <v>54</v>
      </c>
      <c r="L1431" s="58" t="s">
        <v>404</v>
      </c>
      <c r="M1431" s="104" t="str">
        <f>LEFT(Table1[[#This Row],[Tegevusala kood]],2)</f>
        <v>01</v>
      </c>
      <c r="N1431" s="53" t="str">
        <f>VLOOKUP(Table1[[#This Row],[Tegevusala kood]],Table4[[Tegevusala kood]:[Tegevusala alanimetus]],2,FALSE)</f>
        <v>Valla- ja linnavalitsus</v>
      </c>
      <c r="O1431" s="42"/>
      <c r="P1431" s="42"/>
      <c r="Q1431" s="53" t="str">
        <f>VLOOKUP(Table1[[#This Row],[Eelarvekonto]],Table5[[Konto]:[Kontode alanimetus]],5,FALSE)</f>
        <v>Majandamiskulud</v>
      </c>
      <c r="R1431" s="53" t="str">
        <f>VLOOKUP(Table1[[#This Row],[Tegevusala kood]],Table4[[Tegevusala kood]:[Tegevusala alanimetus]],4,FALSE)</f>
        <v>Valla- ja linnavalitsus</v>
      </c>
      <c r="S1431" s="53"/>
      <c r="T1431" s="53"/>
      <c r="U1431" s="53">
        <f>Table1[[#This Row],[Summa]]+Table1[[#This Row],[I Muudatus]]+Table1[[#This Row],[II Muudatus]]</f>
        <v>1815</v>
      </c>
    </row>
    <row r="1432" spans="1:21" ht="14.25" hidden="1" customHeight="1" x14ac:dyDescent="0.25">
      <c r="A1432" s="42" t="s">
        <v>1444</v>
      </c>
      <c r="B1432" s="42">
        <v>1250</v>
      </c>
      <c r="C1432" s="42">
        <v>5511</v>
      </c>
      <c r="D1432" s="53" t="str">
        <f>LEFT(Table1[[#This Row],[Eelarvekonto]],2)</f>
        <v>55</v>
      </c>
      <c r="E1432" s="53" t="str">
        <f>VLOOKUP(Table1[[#This Row],[Eelarvekonto]],Table5[[Konto]:[Konto nimetus]],2,FALSE)</f>
        <v>Kinnistute, hoonete ja ruumide majandamiskulud</v>
      </c>
      <c r="F1432" s="68" t="s">
        <v>139</v>
      </c>
      <c r="G1432" s="68" t="s">
        <v>24</v>
      </c>
      <c r="H1432" s="68"/>
      <c r="I1432" s="68"/>
      <c r="J1432" s="68" t="s">
        <v>139</v>
      </c>
      <c r="K1432" s="68" t="s">
        <v>54</v>
      </c>
      <c r="L1432" s="58" t="s">
        <v>404</v>
      </c>
      <c r="M1432" s="82" t="str">
        <f>LEFT(Table1[[#This Row],[Tegevusala kood]],2)</f>
        <v>01</v>
      </c>
      <c r="N1432" s="53" t="str">
        <f>VLOOKUP(Table1[[#This Row],[Tegevusala kood]],Table4[[Tegevusala kood]:[Tegevusala alanimetus]],2,FALSE)</f>
        <v>Valla- ja linnavalitsus</v>
      </c>
      <c r="O1432" s="42"/>
      <c r="P1432" s="42"/>
      <c r="Q1432" s="53" t="str">
        <f>VLOOKUP(Table1[[#This Row],[Eelarvekonto]],Table5[[Konto]:[Kontode alanimetus]],5,FALSE)</f>
        <v>Majandamiskulud</v>
      </c>
      <c r="R1432" s="53" t="str">
        <f>VLOOKUP(Table1[[#This Row],[Tegevusala kood]],Table4[[Tegevusala kood]:[Tegevusala alanimetus]],4,FALSE)</f>
        <v>Valla- ja linnavalitsus</v>
      </c>
      <c r="S1432" s="53"/>
      <c r="T1432" s="53"/>
      <c r="U1432" s="53">
        <f>Table1[[#This Row],[Summa]]+Table1[[#This Row],[I Muudatus]]+Table1[[#This Row],[II Muudatus]]</f>
        <v>1250</v>
      </c>
    </row>
    <row r="1433" spans="1:21" ht="14.25" hidden="1" customHeight="1" x14ac:dyDescent="0.25">
      <c r="A1433" s="42" t="s">
        <v>1446</v>
      </c>
      <c r="B1433" s="42">
        <v>10500</v>
      </c>
      <c r="C1433" s="42">
        <v>5511</v>
      </c>
      <c r="D1433" s="53" t="str">
        <f>LEFT(Table1[[#This Row],[Eelarvekonto]],2)</f>
        <v>55</v>
      </c>
      <c r="E1433" s="53" t="str">
        <f>VLOOKUP(Table1[[#This Row],[Eelarvekonto]],Table5[[Konto]:[Konto nimetus]],2,FALSE)</f>
        <v>Kinnistute, hoonete ja ruumide majandamiskulud</v>
      </c>
      <c r="F1433" s="68" t="s">
        <v>139</v>
      </c>
      <c r="G1433" s="68" t="s">
        <v>24</v>
      </c>
      <c r="H1433" s="68"/>
      <c r="I1433" s="68"/>
      <c r="J1433" s="68" t="s">
        <v>139</v>
      </c>
      <c r="K1433" s="68" t="s">
        <v>54</v>
      </c>
      <c r="L1433" s="58" t="s">
        <v>404</v>
      </c>
      <c r="M1433" s="82" t="str">
        <f>LEFT(Table1[[#This Row],[Tegevusala kood]],2)</f>
        <v>01</v>
      </c>
      <c r="N1433" s="53" t="str">
        <f>VLOOKUP(Table1[[#This Row],[Tegevusala kood]],Table4[[Tegevusala kood]:[Tegevusala alanimetus]],2,FALSE)</f>
        <v>Valla- ja linnavalitsus</v>
      </c>
      <c r="O1433" s="42"/>
      <c r="P1433" s="42"/>
      <c r="Q1433" s="53" t="str">
        <f>VLOOKUP(Table1[[#This Row],[Eelarvekonto]],Table5[[Konto]:[Kontode alanimetus]],5,FALSE)</f>
        <v>Majandamiskulud</v>
      </c>
      <c r="R1433" s="53" t="str">
        <f>VLOOKUP(Table1[[#This Row],[Tegevusala kood]],Table4[[Tegevusala kood]:[Tegevusala alanimetus]],4,FALSE)</f>
        <v>Valla- ja linnavalitsus</v>
      </c>
      <c r="S1433" s="53"/>
      <c r="T1433" s="53"/>
      <c r="U1433" s="53">
        <f>Table1[[#This Row],[Summa]]+Table1[[#This Row],[I Muudatus]]+Table1[[#This Row],[II Muudatus]]</f>
        <v>10500</v>
      </c>
    </row>
    <row r="1434" spans="1:21" ht="14.25" hidden="1" customHeight="1" x14ac:dyDescent="0.25">
      <c r="A1434" s="42" t="s">
        <v>1447</v>
      </c>
      <c r="B1434" s="42">
        <v>7000</v>
      </c>
      <c r="C1434" s="42">
        <v>5511</v>
      </c>
      <c r="D1434" s="53" t="str">
        <f>LEFT(Table1[[#This Row],[Eelarvekonto]],2)</f>
        <v>55</v>
      </c>
      <c r="E1434" s="53" t="str">
        <f>VLOOKUP(Table1[[#This Row],[Eelarvekonto]],Table5[[Konto]:[Konto nimetus]],2,FALSE)</f>
        <v>Kinnistute, hoonete ja ruumide majandamiskulud</v>
      </c>
      <c r="F1434" s="68" t="s">
        <v>139</v>
      </c>
      <c r="G1434" s="68" t="s">
        <v>24</v>
      </c>
      <c r="H1434" s="68"/>
      <c r="I1434" s="68"/>
      <c r="J1434" s="68" t="s">
        <v>139</v>
      </c>
      <c r="K1434" s="68" t="s">
        <v>54</v>
      </c>
      <c r="L1434" s="58" t="s">
        <v>404</v>
      </c>
      <c r="M1434" s="82" t="str">
        <f>LEFT(Table1[[#This Row],[Tegevusala kood]],2)</f>
        <v>01</v>
      </c>
      <c r="N1434" s="53" t="str">
        <f>VLOOKUP(Table1[[#This Row],[Tegevusala kood]],Table4[[Tegevusala kood]:[Tegevusala alanimetus]],2,FALSE)</f>
        <v>Valla- ja linnavalitsus</v>
      </c>
      <c r="O1434" s="42"/>
      <c r="P1434" s="42"/>
      <c r="Q1434" s="53" t="str">
        <f>VLOOKUP(Table1[[#This Row],[Eelarvekonto]],Table5[[Konto]:[Kontode alanimetus]],5,FALSE)</f>
        <v>Majandamiskulud</v>
      </c>
      <c r="R1434" s="53" t="str">
        <f>VLOOKUP(Table1[[#This Row],[Tegevusala kood]],Table4[[Tegevusala kood]:[Tegevusala alanimetus]],4,FALSE)</f>
        <v>Valla- ja linnavalitsus</v>
      </c>
      <c r="S1434" s="53"/>
      <c r="T1434" s="53"/>
      <c r="U1434" s="53">
        <f>Table1[[#This Row],[Summa]]+Table1[[#This Row],[I Muudatus]]+Table1[[#This Row],[II Muudatus]]</f>
        <v>7000</v>
      </c>
    </row>
    <row r="1435" spans="1:21" ht="14.25" hidden="1" customHeight="1" x14ac:dyDescent="0.25">
      <c r="A1435" s="42" t="s">
        <v>1448</v>
      </c>
      <c r="B1435" s="42">
        <v>150</v>
      </c>
      <c r="C1435" s="42">
        <v>5511</v>
      </c>
      <c r="D1435" s="53" t="str">
        <f>LEFT(Table1[[#This Row],[Eelarvekonto]],2)</f>
        <v>55</v>
      </c>
      <c r="E1435" s="53" t="str">
        <f>VLOOKUP(Table1[[#This Row],[Eelarvekonto]],Table5[[Konto]:[Konto nimetus]],2,FALSE)</f>
        <v>Kinnistute, hoonete ja ruumide majandamiskulud</v>
      </c>
      <c r="F1435" s="68" t="s">
        <v>139</v>
      </c>
      <c r="G1435" s="68" t="s">
        <v>24</v>
      </c>
      <c r="H1435" s="68"/>
      <c r="I1435" s="68"/>
      <c r="J1435" s="68" t="s">
        <v>139</v>
      </c>
      <c r="K1435" s="68" t="s">
        <v>54</v>
      </c>
      <c r="L1435" s="58" t="s">
        <v>404</v>
      </c>
      <c r="M1435" s="82" t="str">
        <f>LEFT(Table1[[#This Row],[Tegevusala kood]],2)</f>
        <v>01</v>
      </c>
      <c r="N1435" s="53" t="str">
        <f>VLOOKUP(Table1[[#This Row],[Tegevusala kood]],Table4[[Tegevusala kood]:[Tegevusala alanimetus]],2,FALSE)</f>
        <v>Valla- ja linnavalitsus</v>
      </c>
      <c r="O1435" s="42"/>
      <c r="P1435" s="42"/>
      <c r="Q1435" s="53" t="str">
        <f>VLOOKUP(Table1[[#This Row],[Eelarvekonto]],Table5[[Konto]:[Kontode alanimetus]],5,FALSE)</f>
        <v>Majandamiskulud</v>
      </c>
      <c r="R1435" s="53" t="str">
        <f>VLOOKUP(Table1[[#This Row],[Tegevusala kood]],Table4[[Tegevusala kood]:[Tegevusala alanimetus]],4,FALSE)</f>
        <v>Valla- ja linnavalitsus</v>
      </c>
      <c r="S1435" s="53"/>
      <c r="T1435" s="53"/>
      <c r="U1435" s="53">
        <f>Table1[[#This Row],[Summa]]+Table1[[#This Row],[I Muudatus]]+Table1[[#This Row],[II Muudatus]]</f>
        <v>150</v>
      </c>
    </row>
    <row r="1436" spans="1:21" ht="14.25" hidden="1" customHeight="1" x14ac:dyDescent="0.25">
      <c r="A1436" s="42" t="s">
        <v>1451</v>
      </c>
      <c r="B1436" s="42">
        <f>6*12*198</f>
        <v>14256</v>
      </c>
      <c r="C1436" s="42">
        <v>5002</v>
      </c>
      <c r="D1436" s="53" t="str">
        <f>LEFT(Table1[[#This Row],[Eelarvekonto]],2)</f>
        <v>50</v>
      </c>
      <c r="E1436" s="53" t="str">
        <f>VLOOKUP(Table1[[#This Row],[Eelarvekonto]],Table5[[Konto]:[Konto nimetus]],2,FALSE)</f>
        <v>Töötajate töötasud</v>
      </c>
      <c r="F1436" s="68" t="s">
        <v>139</v>
      </c>
      <c r="G1436" s="68" t="s">
        <v>24</v>
      </c>
      <c r="H1436" s="68"/>
      <c r="I1436" s="68"/>
      <c r="J1436" s="68" t="s">
        <v>306</v>
      </c>
      <c r="K1436" s="68" t="s">
        <v>304</v>
      </c>
      <c r="L1436" s="58" t="s">
        <v>305</v>
      </c>
      <c r="M1436" s="82" t="str">
        <f>LEFT(Table1[[#This Row],[Tegevusala kood]],2)</f>
        <v>09</v>
      </c>
      <c r="N1436" s="53" t="str">
        <f>VLOOKUP(Table1[[#This Row],[Tegevusala kood]],Table4[[Tegevusala kood]:[Tegevusala alanimetus]],2,FALSE)</f>
        <v>Vinni Lasteaed</v>
      </c>
      <c r="O1436" s="42"/>
      <c r="P1436" s="42"/>
      <c r="Q1436" s="53" t="str">
        <f>VLOOKUP(Table1[[#This Row],[Eelarvekonto]],Table5[[Konto]:[Kontode alanimetus]],5,FALSE)</f>
        <v>Tööjõukulud</v>
      </c>
      <c r="R1436" s="53" t="str">
        <f>VLOOKUP(Table1[[#This Row],[Tegevusala kood]],Table4[[Tegevusala kood]:[Tegevusala alanimetus]],4,FALSE)</f>
        <v>Alusharidus</v>
      </c>
      <c r="S1436" s="53"/>
      <c r="T1436" s="53"/>
      <c r="U1436" s="53">
        <f>Table1[[#This Row],[Summa]]+Table1[[#This Row],[I Muudatus]]+Table1[[#This Row],[II Muudatus]]</f>
        <v>14256</v>
      </c>
    </row>
    <row r="1437" spans="1:21" ht="14.25" hidden="1" customHeight="1" x14ac:dyDescent="0.25">
      <c r="A1437" s="42" t="s">
        <v>1449</v>
      </c>
      <c r="B1437" s="42">
        <f>14256*0.338</f>
        <v>4818.5280000000002</v>
      </c>
      <c r="C1437" s="42">
        <v>506</v>
      </c>
      <c r="D1437" s="53" t="str">
        <f>LEFT(Table1[[#This Row],[Eelarvekonto]],2)</f>
        <v>50</v>
      </c>
      <c r="E1437" s="53" t="str">
        <f>VLOOKUP(Table1[[#This Row],[Eelarvekonto]],Table5[[Konto]:[Konto nimetus]],2,FALSE)</f>
        <v>Tööjõukuludega kaasnevad maksud ja sotsiaalkindlustusmaksed</v>
      </c>
      <c r="F1437" s="68" t="s">
        <v>139</v>
      </c>
      <c r="G1437" s="68" t="s">
        <v>24</v>
      </c>
      <c r="H1437" s="68"/>
      <c r="I1437" s="68"/>
      <c r="J1437" s="68" t="s">
        <v>306</v>
      </c>
      <c r="K1437" s="68" t="s">
        <v>304</v>
      </c>
      <c r="L1437" s="58" t="s">
        <v>305</v>
      </c>
      <c r="M1437" s="82" t="str">
        <f>LEFT(Table1[[#This Row],[Tegevusala kood]],2)</f>
        <v>09</v>
      </c>
      <c r="N1437" s="53" t="str">
        <f>VLOOKUP(Table1[[#This Row],[Tegevusala kood]],Table4[[Tegevusala kood]:[Tegevusala alanimetus]],2,FALSE)</f>
        <v>Vinni Lasteaed</v>
      </c>
      <c r="O1437" s="42"/>
      <c r="P1437" s="42"/>
      <c r="Q1437" s="53" t="str">
        <f>VLOOKUP(Table1[[#This Row],[Eelarvekonto]],Table5[[Konto]:[Kontode alanimetus]],5,FALSE)</f>
        <v>Tööjõukulud</v>
      </c>
      <c r="R1437" s="53" t="str">
        <f>VLOOKUP(Table1[[#This Row],[Tegevusala kood]],Table4[[Tegevusala kood]:[Tegevusala alanimetus]],4,FALSE)</f>
        <v>Alusharidus</v>
      </c>
      <c r="S1437" s="53"/>
      <c r="T1437" s="53"/>
      <c r="U1437" s="53">
        <f>Table1[[#This Row],[Summa]]+Table1[[#This Row],[I Muudatus]]+Table1[[#This Row],[II Muudatus]]</f>
        <v>4818.5280000000002</v>
      </c>
    </row>
    <row r="1438" spans="1:21" ht="14.25" hidden="1" customHeight="1" x14ac:dyDescent="0.25">
      <c r="A1438" s="42" t="s">
        <v>1450</v>
      </c>
      <c r="B1438" s="42">
        <f>3*12*198</f>
        <v>7128</v>
      </c>
      <c r="C1438" s="42">
        <v>5002</v>
      </c>
      <c r="D1438" s="53" t="str">
        <f>LEFT(Table1[[#This Row],[Eelarvekonto]],2)</f>
        <v>50</v>
      </c>
      <c r="E1438" s="53" t="str">
        <f>VLOOKUP(Table1[[#This Row],[Eelarvekonto]],Table5[[Konto]:[Konto nimetus]],2,FALSE)</f>
        <v>Töötajate töötasud</v>
      </c>
      <c r="F1438" s="68" t="s">
        <v>139</v>
      </c>
      <c r="G1438" s="68" t="s">
        <v>24</v>
      </c>
      <c r="H1438" s="68"/>
      <c r="I1438" s="68"/>
      <c r="J1438" s="68" t="s">
        <v>293</v>
      </c>
      <c r="K1438" s="68" t="s">
        <v>291</v>
      </c>
      <c r="L1438" s="58" t="s">
        <v>292</v>
      </c>
      <c r="M1438" s="82" t="str">
        <f>LEFT(Table1[[#This Row],[Tegevusala kood]],2)</f>
        <v>09</v>
      </c>
      <c r="N1438" s="53" t="str">
        <f>VLOOKUP(Table1[[#This Row],[Tegevusala kood]],Table4[[Tegevusala kood]:[Tegevusala alanimetus]],2,FALSE)</f>
        <v>Pajusti Lasteaed Pajustis</v>
      </c>
      <c r="O1438" s="42"/>
      <c r="P1438" s="42"/>
      <c r="Q1438" s="53" t="str">
        <f>VLOOKUP(Table1[[#This Row],[Eelarvekonto]],Table5[[Konto]:[Kontode alanimetus]],5,FALSE)</f>
        <v>Tööjõukulud</v>
      </c>
      <c r="R1438" s="53" t="str">
        <f>VLOOKUP(Table1[[#This Row],[Tegevusala kood]],Table4[[Tegevusala kood]:[Tegevusala alanimetus]],4,FALSE)</f>
        <v>Alusharidus</v>
      </c>
      <c r="S1438" s="53"/>
      <c r="T1438" s="53"/>
      <c r="U1438" s="53">
        <f>Table1[[#This Row],[Summa]]+Table1[[#This Row],[I Muudatus]]+Table1[[#This Row],[II Muudatus]]</f>
        <v>7128</v>
      </c>
    </row>
    <row r="1439" spans="1:21" ht="14.25" hidden="1" customHeight="1" x14ac:dyDescent="0.25">
      <c r="A1439" s="42" t="s">
        <v>1449</v>
      </c>
      <c r="B1439" s="42">
        <f>7128*0.338</f>
        <v>2409.2640000000001</v>
      </c>
      <c r="C1439" s="42">
        <v>506</v>
      </c>
      <c r="D1439" s="53" t="str">
        <f>LEFT(Table1[[#This Row],[Eelarvekonto]],2)</f>
        <v>50</v>
      </c>
      <c r="E1439" s="53" t="str">
        <f>VLOOKUP(Table1[[#This Row],[Eelarvekonto]],Table5[[Konto]:[Konto nimetus]],2,FALSE)</f>
        <v>Tööjõukuludega kaasnevad maksud ja sotsiaalkindlustusmaksed</v>
      </c>
      <c r="F1439" s="68" t="s">
        <v>139</v>
      </c>
      <c r="G1439" s="68" t="s">
        <v>24</v>
      </c>
      <c r="H1439" s="68"/>
      <c r="I1439" s="68"/>
      <c r="J1439" s="68" t="s">
        <v>293</v>
      </c>
      <c r="K1439" s="68" t="s">
        <v>291</v>
      </c>
      <c r="L1439" s="58" t="s">
        <v>292</v>
      </c>
      <c r="M1439" s="82" t="str">
        <f>LEFT(Table1[[#This Row],[Tegevusala kood]],2)</f>
        <v>09</v>
      </c>
      <c r="N1439" s="53" t="str">
        <f>VLOOKUP(Table1[[#This Row],[Tegevusala kood]],Table4[[Tegevusala kood]:[Tegevusala alanimetus]],2,FALSE)</f>
        <v>Pajusti Lasteaed Pajustis</v>
      </c>
      <c r="O1439" s="42"/>
      <c r="P1439" s="42"/>
      <c r="Q1439" s="53" t="str">
        <f>VLOOKUP(Table1[[#This Row],[Eelarvekonto]],Table5[[Konto]:[Kontode alanimetus]],5,FALSE)</f>
        <v>Tööjõukulud</v>
      </c>
      <c r="R1439" s="53" t="str">
        <f>VLOOKUP(Table1[[#This Row],[Tegevusala kood]],Table4[[Tegevusala kood]:[Tegevusala alanimetus]],4,FALSE)</f>
        <v>Alusharidus</v>
      </c>
      <c r="S1439" s="53"/>
      <c r="T1439" s="53"/>
      <c r="U1439" s="53">
        <f>Table1[[#This Row],[Summa]]+Table1[[#This Row],[I Muudatus]]+Table1[[#This Row],[II Muudatus]]</f>
        <v>2409.2640000000001</v>
      </c>
    </row>
    <row r="1440" spans="1:21" ht="14.25" hidden="1" customHeight="1" x14ac:dyDescent="0.25">
      <c r="A1440" s="42" t="s">
        <v>1452</v>
      </c>
      <c r="B1440" s="42">
        <f>198.4*12</f>
        <v>2380.8000000000002</v>
      </c>
      <c r="C1440" s="42">
        <v>5002</v>
      </c>
      <c r="D1440" s="53" t="str">
        <f>LEFT(Table1[[#This Row],[Eelarvekonto]],2)</f>
        <v>50</v>
      </c>
      <c r="E1440" s="53" t="str">
        <f>VLOOKUP(Table1[[#This Row],[Eelarvekonto]],Table5[[Konto]:[Konto nimetus]],2,FALSE)</f>
        <v>Töötajate töötasud</v>
      </c>
      <c r="F1440" s="68" t="s">
        <v>139</v>
      </c>
      <c r="G1440" s="68" t="s">
        <v>24</v>
      </c>
      <c r="H1440" s="68"/>
      <c r="I1440" s="42"/>
      <c r="J1440" s="68" t="s">
        <v>296</v>
      </c>
      <c r="K1440" s="68" t="s">
        <v>294</v>
      </c>
      <c r="L1440" s="103" t="s">
        <v>295</v>
      </c>
      <c r="M1440" s="82" t="str">
        <f>LEFT(Table1[[#This Row],[Tegevusala kood]],2)</f>
        <v>09</v>
      </c>
      <c r="N1440" s="53" t="str">
        <f>VLOOKUP(Table1[[#This Row],[Tegevusala kood]],Table4[[Tegevusala kood]:[Tegevusala alanimetus]],2,FALSE)</f>
        <v>Kulina Lasteaed</v>
      </c>
      <c r="O1440" s="42"/>
      <c r="P1440" s="42"/>
      <c r="Q1440" s="53" t="str">
        <f>VLOOKUP(Table1[[#This Row],[Eelarvekonto]],Table5[[Konto]:[Kontode alanimetus]],5,FALSE)</f>
        <v>Tööjõukulud</v>
      </c>
      <c r="R1440" s="53" t="str">
        <f>VLOOKUP(Table1[[#This Row],[Tegevusala kood]],Table4[[Tegevusala kood]:[Tegevusala alanimetus]],4,FALSE)</f>
        <v>Alusharidus</v>
      </c>
      <c r="S1440" s="53"/>
      <c r="T1440" s="53"/>
      <c r="U1440" s="53">
        <f>Table1[[#This Row],[Summa]]+Table1[[#This Row],[I Muudatus]]+Table1[[#This Row],[II Muudatus]]</f>
        <v>2380.8000000000002</v>
      </c>
    </row>
    <row r="1441" spans="1:21" ht="14.25" hidden="1" customHeight="1" x14ac:dyDescent="0.25">
      <c r="A1441" s="42" t="s">
        <v>1453</v>
      </c>
      <c r="B1441" s="42">
        <f>2380.8*0.338</f>
        <v>804.71040000000016</v>
      </c>
      <c r="C1441" s="42">
        <v>506</v>
      </c>
      <c r="D1441" s="53" t="str">
        <f>LEFT(Table1[[#This Row],[Eelarvekonto]],2)</f>
        <v>50</v>
      </c>
      <c r="E1441" s="53" t="str">
        <f>VLOOKUP(Table1[[#This Row],[Eelarvekonto]],Table5[[Konto]:[Konto nimetus]],2,FALSE)</f>
        <v>Tööjõukuludega kaasnevad maksud ja sotsiaalkindlustusmaksed</v>
      </c>
      <c r="F1441" s="68" t="s">
        <v>139</v>
      </c>
      <c r="G1441" s="68" t="s">
        <v>24</v>
      </c>
      <c r="H1441" s="68"/>
      <c r="I1441" s="42"/>
      <c r="J1441" s="68" t="s">
        <v>296</v>
      </c>
      <c r="K1441" s="68" t="s">
        <v>294</v>
      </c>
      <c r="L1441" s="103" t="s">
        <v>295</v>
      </c>
      <c r="M1441" s="82" t="str">
        <f>LEFT(Table1[[#This Row],[Tegevusala kood]],2)</f>
        <v>09</v>
      </c>
      <c r="N1441" s="53" t="str">
        <f>VLOOKUP(Table1[[#This Row],[Tegevusala kood]],Table4[[Tegevusala kood]:[Tegevusala alanimetus]],2,FALSE)</f>
        <v>Kulina Lasteaed</v>
      </c>
      <c r="O1441" s="42"/>
      <c r="P1441" s="42"/>
      <c r="Q1441" s="53" t="str">
        <f>VLOOKUP(Table1[[#This Row],[Eelarvekonto]],Table5[[Konto]:[Kontode alanimetus]],5,FALSE)</f>
        <v>Tööjõukulud</v>
      </c>
      <c r="R1441" s="53" t="str">
        <f>VLOOKUP(Table1[[#This Row],[Tegevusala kood]],Table4[[Tegevusala kood]:[Tegevusala alanimetus]],4,FALSE)</f>
        <v>Alusharidus</v>
      </c>
      <c r="S1441" s="53"/>
      <c r="T1441" s="53"/>
      <c r="U1441" s="53">
        <f>Table1[[#This Row],[Summa]]+Table1[[#This Row],[I Muudatus]]+Table1[[#This Row],[II Muudatus]]</f>
        <v>804.71040000000016</v>
      </c>
    </row>
    <row r="1442" spans="1:21" ht="14.25" hidden="1" customHeight="1" x14ac:dyDescent="0.25">
      <c r="A1442" s="42" t="s">
        <v>1454</v>
      </c>
      <c r="B1442" s="42">
        <f>12*248</f>
        <v>2976</v>
      </c>
      <c r="C1442" s="42">
        <v>5002</v>
      </c>
      <c r="D1442" s="53" t="str">
        <f>LEFT(Table1[[#This Row],[Eelarvekonto]],2)</f>
        <v>50</v>
      </c>
      <c r="E1442" s="53" t="str">
        <f>VLOOKUP(Table1[[#This Row],[Eelarvekonto]],Table5[[Konto]:[Konto nimetus]],2,FALSE)</f>
        <v>Töötajate töötasud</v>
      </c>
      <c r="F1442" s="68" t="s">
        <v>139</v>
      </c>
      <c r="G1442" s="68" t="s">
        <v>24</v>
      </c>
      <c r="H1442" s="68"/>
      <c r="I1442" s="42"/>
      <c r="J1442" s="68" t="s">
        <v>296</v>
      </c>
      <c r="K1442" s="68" t="s">
        <v>294</v>
      </c>
      <c r="L1442" s="103" t="s">
        <v>295</v>
      </c>
      <c r="M1442" s="82" t="str">
        <f>LEFT(Table1[[#This Row],[Tegevusala kood]],2)</f>
        <v>09</v>
      </c>
      <c r="N1442" s="53" t="str">
        <f>VLOOKUP(Table1[[#This Row],[Tegevusala kood]],Table4[[Tegevusala kood]:[Tegevusala alanimetus]],2,FALSE)</f>
        <v>Kulina Lasteaed</v>
      </c>
      <c r="O1442" s="42"/>
      <c r="P1442" s="42"/>
      <c r="Q1442" s="53" t="str">
        <f>VLOOKUP(Table1[[#This Row],[Eelarvekonto]],Table5[[Konto]:[Kontode alanimetus]],5,FALSE)</f>
        <v>Tööjõukulud</v>
      </c>
      <c r="R1442" s="53" t="str">
        <f>VLOOKUP(Table1[[#This Row],[Tegevusala kood]],Table4[[Tegevusala kood]:[Tegevusala alanimetus]],4,FALSE)</f>
        <v>Alusharidus</v>
      </c>
      <c r="S1442" s="53"/>
      <c r="T1442" s="53"/>
      <c r="U1442" s="53">
        <f>Table1[[#This Row],[Summa]]+Table1[[#This Row],[I Muudatus]]+Table1[[#This Row],[II Muudatus]]</f>
        <v>2976</v>
      </c>
    </row>
    <row r="1443" spans="1:21" ht="14.25" hidden="1" customHeight="1" x14ac:dyDescent="0.25">
      <c r="A1443" s="42" t="s">
        <v>1449</v>
      </c>
      <c r="B1443" s="42">
        <f>B1442*0.338</f>
        <v>1005.888</v>
      </c>
      <c r="C1443" s="42">
        <v>506</v>
      </c>
      <c r="D1443" s="53" t="str">
        <f>LEFT(Table1[[#This Row],[Eelarvekonto]],2)</f>
        <v>50</v>
      </c>
      <c r="E1443" s="53" t="str">
        <f>VLOOKUP(Table1[[#This Row],[Eelarvekonto]],Table5[[Konto]:[Konto nimetus]],2,FALSE)</f>
        <v>Tööjõukuludega kaasnevad maksud ja sotsiaalkindlustusmaksed</v>
      </c>
      <c r="F1443" s="68" t="s">
        <v>139</v>
      </c>
      <c r="G1443" s="68" t="s">
        <v>24</v>
      </c>
      <c r="H1443" s="68"/>
      <c r="I1443" s="42"/>
      <c r="J1443" s="68" t="s">
        <v>296</v>
      </c>
      <c r="K1443" s="68" t="s">
        <v>294</v>
      </c>
      <c r="L1443" s="103" t="s">
        <v>295</v>
      </c>
      <c r="M1443" s="82" t="str">
        <f>LEFT(Table1[[#This Row],[Tegevusala kood]],2)</f>
        <v>09</v>
      </c>
      <c r="N1443" s="53" t="str">
        <f>VLOOKUP(Table1[[#This Row],[Tegevusala kood]],Table4[[Tegevusala kood]:[Tegevusala alanimetus]],2,FALSE)</f>
        <v>Kulina Lasteaed</v>
      </c>
      <c r="O1443" s="42"/>
      <c r="P1443" s="42"/>
      <c r="Q1443" s="53" t="str">
        <f>VLOOKUP(Table1[[#This Row],[Eelarvekonto]],Table5[[Konto]:[Kontode alanimetus]],5,FALSE)</f>
        <v>Tööjõukulud</v>
      </c>
      <c r="R1443" s="53" t="str">
        <f>VLOOKUP(Table1[[#This Row],[Tegevusala kood]],Table4[[Tegevusala kood]:[Tegevusala alanimetus]],4,FALSE)</f>
        <v>Alusharidus</v>
      </c>
      <c r="S1443" s="53"/>
      <c r="T1443" s="53"/>
      <c r="U1443" s="53">
        <f>Table1[[#This Row],[Summa]]+Table1[[#This Row],[I Muudatus]]+Table1[[#This Row],[II Muudatus]]</f>
        <v>1005.888</v>
      </c>
    </row>
    <row r="1444" spans="1:21" ht="14.25" hidden="1" customHeight="1" x14ac:dyDescent="0.25">
      <c r="A1444" s="42" t="s">
        <v>1455</v>
      </c>
      <c r="B1444" s="42">
        <f>70*2*12+198*12</f>
        <v>4056</v>
      </c>
      <c r="C1444" s="42">
        <v>5002</v>
      </c>
      <c r="D1444" s="53" t="str">
        <f>LEFT(Table1[[#This Row],[Eelarvekonto]],2)</f>
        <v>50</v>
      </c>
      <c r="E1444" s="53" t="str">
        <f>VLOOKUP(Table1[[#This Row],[Eelarvekonto]],Table5[[Konto]:[Konto nimetus]],2,FALSE)</f>
        <v>Töötajate töötasud</v>
      </c>
      <c r="F1444" s="42" t="s">
        <v>139</v>
      </c>
      <c r="G1444" s="42" t="s">
        <v>24</v>
      </c>
      <c r="H1444" s="42"/>
      <c r="I1444" s="42"/>
      <c r="J1444" s="42" t="s">
        <v>258</v>
      </c>
      <c r="K1444" s="42" t="s">
        <v>256</v>
      </c>
      <c r="L1444" s="62" t="s">
        <v>260</v>
      </c>
      <c r="M1444" s="82" t="str">
        <f>LEFT(Table1[[#This Row],[Tegevusala kood]],2)</f>
        <v>09</v>
      </c>
      <c r="N1444" s="53" t="str">
        <f>VLOOKUP(Table1[[#This Row],[Tegevusala kood]],Table4[[Tegevusala kood]:[Tegevusala alanimetus]],2,FALSE)</f>
        <v>Tudu Lasteaed</v>
      </c>
      <c r="O1444" s="42"/>
      <c r="P1444" s="42"/>
      <c r="Q1444" s="53" t="str">
        <f>VLOOKUP(Table1[[#This Row],[Eelarvekonto]],Table5[[Konto]:[Kontode alanimetus]],5,FALSE)</f>
        <v>Tööjõukulud</v>
      </c>
      <c r="R1444" s="53" t="str">
        <f>VLOOKUP(Table1[[#This Row],[Tegevusala kood]],Table4[[Tegevusala kood]:[Tegevusala alanimetus]],4,FALSE)</f>
        <v>Alusharidus</v>
      </c>
      <c r="S1444" s="53"/>
      <c r="T1444" s="53"/>
      <c r="U1444" s="53">
        <f>Table1[[#This Row],[Summa]]+Table1[[#This Row],[I Muudatus]]+Table1[[#This Row],[II Muudatus]]</f>
        <v>4056</v>
      </c>
    </row>
    <row r="1445" spans="1:21" ht="14.25" hidden="1" customHeight="1" x14ac:dyDescent="0.25">
      <c r="A1445" s="42" t="s">
        <v>1449</v>
      </c>
      <c r="B1445" s="42">
        <f>4056*0.338</f>
        <v>1370.9280000000001</v>
      </c>
      <c r="C1445" s="42">
        <v>506</v>
      </c>
      <c r="D1445" s="53" t="str">
        <f>LEFT(Table1[[#This Row],[Eelarvekonto]],2)</f>
        <v>50</v>
      </c>
      <c r="E1445" s="53" t="str">
        <f>VLOOKUP(Table1[[#This Row],[Eelarvekonto]],Table5[[Konto]:[Konto nimetus]],2,FALSE)</f>
        <v>Tööjõukuludega kaasnevad maksud ja sotsiaalkindlustusmaksed</v>
      </c>
      <c r="F1445" s="42" t="s">
        <v>139</v>
      </c>
      <c r="G1445" s="42" t="s">
        <v>24</v>
      </c>
      <c r="H1445" s="42"/>
      <c r="I1445" s="42"/>
      <c r="J1445" s="42" t="s">
        <v>258</v>
      </c>
      <c r="K1445" s="42" t="s">
        <v>256</v>
      </c>
      <c r="L1445" s="62" t="s">
        <v>260</v>
      </c>
      <c r="M1445" s="82" t="str">
        <f>LEFT(Table1[[#This Row],[Tegevusala kood]],2)</f>
        <v>09</v>
      </c>
      <c r="N1445" s="53" t="str">
        <f>VLOOKUP(Table1[[#This Row],[Tegevusala kood]],Table4[[Tegevusala kood]:[Tegevusala alanimetus]],2,FALSE)</f>
        <v>Tudu Lasteaed</v>
      </c>
      <c r="O1445" s="42"/>
      <c r="P1445" s="42"/>
      <c r="Q1445" s="53" t="str">
        <f>VLOOKUP(Table1[[#This Row],[Eelarvekonto]],Table5[[Konto]:[Kontode alanimetus]],5,FALSE)</f>
        <v>Tööjõukulud</v>
      </c>
      <c r="R1445" s="53" t="str">
        <f>VLOOKUP(Table1[[#This Row],[Tegevusala kood]],Table4[[Tegevusala kood]:[Tegevusala alanimetus]],4,FALSE)</f>
        <v>Alusharidus</v>
      </c>
      <c r="S1445" s="53"/>
      <c r="T1445" s="53"/>
      <c r="U1445" s="53">
        <f>Table1[[#This Row],[Summa]]+Table1[[#This Row],[I Muudatus]]+Table1[[#This Row],[II Muudatus]]</f>
        <v>1370.9280000000001</v>
      </c>
    </row>
    <row r="1446" spans="1:21" ht="14.25" hidden="1" customHeight="1" x14ac:dyDescent="0.25">
      <c r="A1446" s="42" t="s">
        <v>1450</v>
      </c>
      <c r="B1446" s="42">
        <f>3*198*12</f>
        <v>7128</v>
      </c>
      <c r="C1446" s="42">
        <v>5002</v>
      </c>
      <c r="D1446" s="53" t="str">
        <f>LEFT(Table1[[#This Row],[Eelarvekonto]],2)</f>
        <v>50</v>
      </c>
      <c r="E1446" s="53" t="str">
        <f>VLOOKUP(Table1[[#This Row],[Eelarvekonto]],Table5[[Konto]:[Konto nimetus]],2,FALSE)</f>
        <v>Töötajate töötasud</v>
      </c>
      <c r="F1446" s="68" t="s">
        <v>139</v>
      </c>
      <c r="G1446" s="68" t="s">
        <v>24</v>
      </c>
      <c r="H1446" s="68"/>
      <c r="I1446" s="42"/>
      <c r="J1446" s="68" t="s">
        <v>290</v>
      </c>
      <c r="K1446" s="68" t="s">
        <v>288</v>
      </c>
      <c r="L1446" s="103" t="s">
        <v>289</v>
      </c>
      <c r="M1446" s="82" t="str">
        <f>LEFT(Table1[[#This Row],[Tegevusala kood]],2)</f>
        <v>09</v>
      </c>
      <c r="N1446" s="53" t="str">
        <f>VLOOKUP(Table1[[#This Row],[Tegevusala kood]],Table4[[Tegevusala kood]:[Tegevusala alanimetus]],2,FALSE)</f>
        <v>Laekvere Lasteaed</v>
      </c>
      <c r="O1446" s="42"/>
      <c r="P1446" s="42"/>
      <c r="Q1446" s="53" t="str">
        <f>VLOOKUP(Table1[[#This Row],[Eelarvekonto]],Table5[[Konto]:[Kontode alanimetus]],5,FALSE)</f>
        <v>Tööjõukulud</v>
      </c>
      <c r="R1446" s="53" t="str">
        <f>VLOOKUP(Table1[[#This Row],[Tegevusala kood]],Table4[[Tegevusala kood]:[Tegevusala alanimetus]],4,FALSE)</f>
        <v>Alusharidus</v>
      </c>
      <c r="S1446" s="53"/>
      <c r="T1446" s="53"/>
      <c r="U1446" s="53">
        <f>Table1[[#This Row],[Summa]]+Table1[[#This Row],[I Muudatus]]+Table1[[#This Row],[II Muudatus]]</f>
        <v>7128</v>
      </c>
    </row>
    <row r="1447" spans="1:21" ht="14.25" hidden="1" customHeight="1" x14ac:dyDescent="0.25">
      <c r="A1447" s="42" t="s">
        <v>1449</v>
      </c>
      <c r="B1447" s="42">
        <f>7128*0.338</f>
        <v>2409.2640000000001</v>
      </c>
      <c r="C1447" s="42">
        <v>506</v>
      </c>
      <c r="D1447" s="53" t="str">
        <f>LEFT(Table1[[#This Row],[Eelarvekonto]],2)</f>
        <v>50</v>
      </c>
      <c r="E1447" s="53" t="str">
        <f>VLOOKUP(Table1[[#This Row],[Eelarvekonto]],Table5[[Konto]:[Konto nimetus]],2,FALSE)</f>
        <v>Tööjõukuludega kaasnevad maksud ja sotsiaalkindlustusmaksed</v>
      </c>
      <c r="F1447" s="68" t="s">
        <v>139</v>
      </c>
      <c r="G1447" s="68" t="s">
        <v>24</v>
      </c>
      <c r="H1447" s="68"/>
      <c r="I1447" s="42"/>
      <c r="J1447" s="68" t="s">
        <v>290</v>
      </c>
      <c r="K1447" s="68" t="s">
        <v>288</v>
      </c>
      <c r="L1447" s="103" t="s">
        <v>289</v>
      </c>
      <c r="M1447" s="82" t="str">
        <f>LEFT(Table1[[#This Row],[Tegevusala kood]],2)</f>
        <v>09</v>
      </c>
      <c r="N1447" s="53" t="str">
        <f>VLOOKUP(Table1[[#This Row],[Tegevusala kood]],Table4[[Tegevusala kood]:[Tegevusala alanimetus]],2,FALSE)</f>
        <v>Laekvere Lasteaed</v>
      </c>
      <c r="O1447" s="42"/>
      <c r="P1447" s="42"/>
      <c r="Q1447" s="53" t="str">
        <f>VLOOKUP(Table1[[#This Row],[Eelarvekonto]],Table5[[Konto]:[Kontode alanimetus]],5,FALSE)</f>
        <v>Tööjõukulud</v>
      </c>
      <c r="R1447" s="53" t="str">
        <f>VLOOKUP(Table1[[#This Row],[Tegevusala kood]],Table4[[Tegevusala kood]:[Tegevusala alanimetus]],4,FALSE)</f>
        <v>Alusharidus</v>
      </c>
      <c r="S1447" s="53"/>
      <c r="T1447" s="53"/>
      <c r="U1447" s="53">
        <f>Table1[[#This Row],[Summa]]+Table1[[#This Row],[I Muudatus]]+Table1[[#This Row],[II Muudatus]]</f>
        <v>2409.2640000000001</v>
      </c>
    </row>
    <row r="1448" spans="1:21" ht="14.25" hidden="1" customHeight="1" x14ac:dyDescent="0.25">
      <c r="A1448" s="42" t="s">
        <v>1455</v>
      </c>
      <c r="B1448" s="42">
        <f>270*2*12</f>
        <v>6480</v>
      </c>
      <c r="C1448" s="42">
        <v>5002</v>
      </c>
      <c r="D1448" s="53" t="str">
        <f>LEFT(Table1[[#This Row],[Eelarvekonto]],2)</f>
        <v>50</v>
      </c>
      <c r="E1448" s="53" t="str">
        <f>VLOOKUP(Table1[[#This Row],[Eelarvekonto]],Table5[[Konto]:[Konto nimetus]],2,FALSE)</f>
        <v>Töötajate töötasud</v>
      </c>
      <c r="F1448" s="42" t="s">
        <v>139</v>
      </c>
      <c r="G1448" s="42" t="s">
        <v>24</v>
      </c>
      <c r="H1448" s="42"/>
      <c r="I1448" s="42"/>
      <c r="J1448" s="42" t="s">
        <v>283</v>
      </c>
      <c r="K1448" s="42" t="s">
        <v>281</v>
      </c>
      <c r="L1448" s="62" t="s">
        <v>282</v>
      </c>
      <c r="M1448" s="82" t="str">
        <f>LEFT(Table1[[#This Row],[Tegevusala kood]],2)</f>
        <v>09</v>
      </c>
      <c r="N1448" s="53" t="str">
        <f>VLOOKUP(Table1[[#This Row],[Tegevusala kood]],Table4[[Tegevusala kood]:[Tegevusala alanimetus]],2,FALSE)</f>
        <v>Pajusti Lasteaed Ulvis</v>
      </c>
      <c r="O1448" s="42"/>
      <c r="P1448" s="42"/>
      <c r="Q1448" s="53" t="str">
        <f>VLOOKUP(Table1[[#This Row],[Eelarvekonto]],Table5[[Konto]:[Kontode alanimetus]],5,FALSE)</f>
        <v>Tööjõukulud</v>
      </c>
      <c r="R1448" s="53" t="str">
        <f>VLOOKUP(Table1[[#This Row],[Tegevusala kood]],Table4[[Tegevusala kood]:[Tegevusala alanimetus]],4,FALSE)</f>
        <v>Alusharidus</v>
      </c>
      <c r="S1448" s="53"/>
      <c r="T1448" s="53"/>
      <c r="U1448" s="53">
        <f>Table1[[#This Row],[Summa]]+Table1[[#This Row],[I Muudatus]]+Table1[[#This Row],[II Muudatus]]</f>
        <v>6480</v>
      </c>
    </row>
    <row r="1449" spans="1:21" ht="14.25" hidden="1" customHeight="1" x14ac:dyDescent="0.25">
      <c r="A1449" s="42" t="s">
        <v>1449</v>
      </c>
      <c r="B1449" s="42">
        <f>6480*0.338</f>
        <v>2190.2400000000002</v>
      </c>
      <c r="C1449" s="42">
        <v>506</v>
      </c>
      <c r="D1449" s="53" t="str">
        <f>LEFT(Table1[[#This Row],[Eelarvekonto]],2)</f>
        <v>50</v>
      </c>
      <c r="E1449" s="53" t="str">
        <f>VLOOKUP(Table1[[#This Row],[Eelarvekonto]],Table5[[Konto]:[Konto nimetus]],2,FALSE)</f>
        <v>Tööjõukuludega kaasnevad maksud ja sotsiaalkindlustusmaksed</v>
      </c>
      <c r="F1449" s="42" t="s">
        <v>139</v>
      </c>
      <c r="G1449" s="42" t="s">
        <v>24</v>
      </c>
      <c r="H1449" s="42"/>
      <c r="I1449" s="42"/>
      <c r="J1449" s="42" t="s">
        <v>283</v>
      </c>
      <c r="K1449" s="42" t="s">
        <v>281</v>
      </c>
      <c r="L1449" s="62" t="s">
        <v>282</v>
      </c>
      <c r="M1449" s="82" t="str">
        <f>LEFT(Table1[[#This Row],[Tegevusala kood]],2)</f>
        <v>09</v>
      </c>
      <c r="N1449" s="53" t="str">
        <f>VLOOKUP(Table1[[#This Row],[Tegevusala kood]],Table4[[Tegevusala kood]:[Tegevusala alanimetus]],2,FALSE)</f>
        <v>Pajusti Lasteaed Ulvis</v>
      </c>
      <c r="O1449" s="42"/>
      <c r="P1449" s="42"/>
      <c r="Q1449" s="53" t="str">
        <f>VLOOKUP(Table1[[#This Row],[Eelarvekonto]],Table5[[Konto]:[Kontode alanimetus]],5,FALSE)</f>
        <v>Tööjõukulud</v>
      </c>
      <c r="R1449" s="53" t="str">
        <f>VLOOKUP(Table1[[#This Row],[Tegevusala kood]],Table4[[Tegevusala kood]:[Tegevusala alanimetus]],4,FALSE)</f>
        <v>Alusharidus</v>
      </c>
      <c r="S1449" s="53"/>
      <c r="T1449" s="53"/>
      <c r="U1449" s="53">
        <f>Table1[[#This Row],[Summa]]+Table1[[#This Row],[I Muudatus]]+Table1[[#This Row],[II Muudatus]]</f>
        <v>2190.2400000000002</v>
      </c>
    </row>
    <row r="1450" spans="1:21" ht="14.25" hidden="1" customHeight="1" x14ac:dyDescent="0.25">
      <c r="A1450" s="42" t="s">
        <v>1455</v>
      </c>
      <c r="B1450" s="42">
        <f>240*12+142*12</f>
        <v>4584</v>
      </c>
      <c r="C1450" s="42">
        <v>5002</v>
      </c>
      <c r="D1450" s="53" t="str">
        <f>LEFT(Table1[[#This Row],[Eelarvekonto]],2)</f>
        <v>50</v>
      </c>
      <c r="E1450" s="53" t="str">
        <f>VLOOKUP(Table1[[#This Row],[Eelarvekonto]],Table5[[Konto]:[Konto nimetus]],2,FALSE)</f>
        <v>Töötajate töötasud</v>
      </c>
      <c r="F1450" s="42" t="s">
        <v>139</v>
      </c>
      <c r="G1450" s="42" t="s">
        <v>24</v>
      </c>
      <c r="H1450" s="42"/>
      <c r="I1450" s="42"/>
      <c r="J1450" s="42" t="s">
        <v>264</v>
      </c>
      <c r="K1450" s="42" t="s">
        <v>263</v>
      </c>
      <c r="L1450" s="62" t="s">
        <v>278</v>
      </c>
      <c r="M1450" s="82" t="str">
        <f>LEFT(Table1[[#This Row],[Tegevusala kood]],2)</f>
        <v>09</v>
      </c>
      <c r="N1450" s="53" t="str">
        <f>VLOOKUP(Table1[[#This Row],[Tegevusala kood]],Table4[[Tegevusala kood]:[Tegevusala alanimetus]],2,FALSE)</f>
        <v>Roela Lasteaed</v>
      </c>
      <c r="O1450" s="42"/>
      <c r="P1450" s="42"/>
      <c r="Q1450" s="53" t="str">
        <f>VLOOKUP(Table1[[#This Row],[Eelarvekonto]],Table5[[Konto]:[Kontode alanimetus]],5,FALSE)</f>
        <v>Tööjõukulud</v>
      </c>
      <c r="R1450" s="53" t="str">
        <f>VLOOKUP(Table1[[#This Row],[Tegevusala kood]],Table4[[Tegevusala kood]:[Tegevusala alanimetus]],4,FALSE)</f>
        <v>Alusharidus</v>
      </c>
      <c r="S1450" s="53"/>
      <c r="T1450" s="53"/>
      <c r="U1450" s="53">
        <f>Table1[[#This Row],[Summa]]+Table1[[#This Row],[I Muudatus]]+Table1[[#This Row],[II Muudatus]]</f>
        <v>4584</v>
      </c>
    </row>
    <row r="1451" spans="1:21" ht="14.25" hidden="1" customHeight="1" x14ac:dyDescent="0.25">
      <c r="A1451" s="42" t="s">
        <v>1449</v>
      </c>
      <c r="B1451" s="42">
        <f>4584*0.338</f>
        <v>1549.3920000000001</v>
      </c>
      <c r="C1451" s="42">
        <v>506</v>
      </c>
      <c r="D1451" s="53" t="str">
        <f>LEFT(Table1[[#This Row],[Eelarvekonto]],2)</f>
        <v>50</v>
      </c>
      <c r="E1451" s="53" t="str">
        <f>VLOOKUP(Table1[[#This Row],[Eelarvekonto]],Table5[[Konto]:[Konto nimetus]],2,FALSE)</f>
        <v>Tööjõukuludega kaasnevad maksud ja sotsiaalkindlustusmaksed</v>
      </c>
      <c r="F1451" s="42" t="s">
        <v>139</v>
      </c>
      <c r="G1451" s="42" t="s">
        <v>24</v>
      </c>
      <c r="H1451" s="42"/>
      <c r="I1451" s="42"/>
      <c r="J1451" s="42" t="s">
        <v>264</v>
      </c>
      <c r="K1451" s="42" t="s">
        <v>263</v>
      </c>
      <c r="L1451" s="62" t="s">
        <v>278</v>
      </c>
      <c r="M1451" s="82" t="str">
        <f>LEFT(Table1[[#This Row],[Tegevusala kood]],2)</f>
        <v>09</v>
      </c>
      <c r="N1451" s="53" t="str">
        <f>VLOOKUP(Table1[[#This Row],[Tegevusala kood]],Table4[[Tegevusala kood]:[Tegevusala alanimetus]],2,FALSE)</f>
        <v>Roela Lasteaed</v>
      </c>
      <c r="O1451" s="42"/>
      <c r="P1451" s="42"/>
      <c r="Q1451" s="53" t="str">
        <f>VLOOKUP(Table1[[#This Row],[Eelarvekonto]],Table5[[Konto]:[Kontode alanimetus]],5,FALSE)</f>
        <v>Tööjõukulud</v>
      </c>
      <c r="R1451" s="53" t="str">
        <f>VLOOKUP(Table1[[#This Row],[Tegevusala kood]],Table4[[Tegevusala kood]:[Tegevusala alanimetus]],4,FALSE)</f>
        <v>Alusharidus</v>
      </c>
      <c r="S1451" s="53"/>
      <c r="T1451" s="53"/>
      <c r="U1451" s="53">
        <f>Table1[[#This Row],[Summa]]+Table1[[#This Row],[I Muudatus]]+Table1[[#This Row],[II Muudatus]]</f>
        <v>1549.3920000000001</v>
      </c>
    </row>
    <row r="1452" spans="1:21" ht="14.25" hidden="1" customHeight="1" x14ac:dyDescent="0.25">
      <c r="A1452" s="42" t="s">
        <v>1478</v>
      </c>
      <c r="B1452" s="42">
        <f>100*12</f>
        <v>1200</v>
      </c>
      <c r="C1452" s="42">
        <v>5002</v>
      </c>
      <c r="D1452" s="53" t="str">
        <f>LEFT(Table1[[#This Row],[Eelarvekonto]],2)</f>
        <v>50</v>
      </c>
      <c r="E1452" s="53" t="str">
        <f>VLOOKUP(Table1[[#This Row],[Eelarvekonto]],Table5[[Konto]:[Konto nimetus]],2,FALSE)</f>
        <v>Töötajate töötasud</v>
      </c>
      <c r="F1452" s="42" t="s">
        <v>139</v>
      </c>
      <c r="G1452" s="42" t="s">
        <v>24</v>
      </c>
      <c r="H1452" s="42"/>
      <c r="I1452" s="42"/>
      <c r="J1452" s="42" t="s">
        <v>335</v>
      </c>
      <c r="K1452" s="42" t="s">
        <v>79</v>
      </c>
      <c r="L1452" s="81" t="s">
        <v>334</v>
      </c>
      <c r="M1452" s="82" t="str">
        <f>LEFT(Table1[[#This Row],[Tegevusala kood]],2)</f>
        <v>06</v>
      </c>
      <c r="N1452" s="53" t="str">
        <f>VLOOKUP(Table1[[#This Row],[Tegevusala kood]],Table4[[Tegevusala kood]:[Tegevusala alanimetus]],2,FALSE)</f>
        <v>Laekvere teeninduspiirkond</v>
      </c>
      <c r="O1452" s="42"/>
      <c r="P1452" s="42"/>
      <c r="Q1452" s="53" t="str">
        <f>VLOOKUP(Table1[[#This Row],[Eelarvekonto]],Table5[[Konto]:[Kontode alanimetus]],5,FALSE)</f>
        <v>Tööjõukulud</v>
      </c>
      <c r="R1452" s="53" t="str">
        <f>VLOOKUP(Table1[[#This Row],[Tegevusala kood]],Table4[[Tegevusala kood]:[Tegevusala alanimetus]],4,FALSE)</f>
        <v>Muu elamu- ja kommunaalmajanduse tegevus</v>
      </c>
      <c r="S1452" s="53"/>
      <c r="T1452" s="53"/>
      <c r="U1452" s="53">
        <f>Table1[[#This Row],[Summa]]+Table1[[#This Row],[I Muudatus]]+Table1[[#This Row],[II Muudatus]]</f>
        <v>1200</v>
      </c>
    </row>
    <row r="1453" spans="1:21" ht="14.25" hidden="1" customHeight="1" x14ac:dyDescent="0.25">
      <c r="A1453" s="42" t="s">
        <v>1479</v>
      </c>
      <c r="B1453" s="42">
        <f>100*12</f>
        <v>1200</v>
      </c>
      <c r="C1453" s="42">
        <v>5002</v>
      </c>
      <c r="D1453" s="53" t="str">
        <f>LEFT(Table1[[#This Row],[Eelarvekonto]],2)</f>
        <v>50</v>
      </c>
      <c r="E1453" s="53" t="str">
        <f>VLOOKUP(Table1[[#This Row],[Eelarvekonto]],Table5[[Konto]:[Konto nimetus]],2,FALSE)</f>
        <v>Töötajate töötasud</v>
      </c>
      <c r="F1453" s="42" t="s">
        <v>139</v>
      </c>
      <c r="G1453" s="42" t="s">
        <v>24</v>
      </c>
      <c r="H1453" s="42"/>
      <c r="I1453" s="42"/>
      <c r="J1453" s="42" t="s">
        <v>335</v>
      </c>
      <c r="K1453" s="42" t="s">
        <v>79</v>
      </c>
      <c r="L1453" s="81" t="s">
        <v>334</v>
      </c>
      <c r="M1453" s="82" t="str">
        <f>LEFT(Table1[[#This Row],[Tegevusala kood]],2)</f>
        <v>06</v>
      </c>
      <c r="N1453" s="53" t="str">
        <f>VLOOKUP(Table1[[#This Row],[Tegevusala kood]],Table4[[Tegevusala kood]:[Tegevusala alanimetus]],2,FALSE)</f>
        <v>Laekvere teeninduspiirkond</v>
      </c>
      <c r="O1453" s="42"/>
      <c r="P1453" s="42"/>
      <c r="Q1453" s="53" t="str">
        <f>VLOOKUP(Table1[[#This Row],[Eelarvekonto]],Table5[[Konto]:[Kontode alanimetus]],5,FALSE)</f>
        <v>Tööjõukulud</v>
      </c>
      <c r="R1453" s="53" t="str">
        <f>VLOOKUP(Table1[[#This Row],[Tegevusala kood]],Table4[[Tegevusala kood]:[Tegevusala alanimetus]],4,FALSE)</f>
        <v>Muu elamu- ja kommunaalmajanduse tegevus</v>
      </c>
      <c r="S1453" s="53"/>
      <c r="T1453" s="53"/>
      <c r="U1453" s="53">
        <f>Table1[[#This Row],[Summa]]+Table1[[#This Row],[I Muudatus]]+Table1[[#This Row],[II Muudatus]]</f>
        <v>1200</v>
      </c>
    </row>
    <row r="1454" spans="1:21" ht="14.25" hidden="1" customHeight="1" x14ac:dyDescent="0.25">
      <c r="A1454" s="42" t="s">
        <v>1480</v>
      </c>
      <c r="B1454" s="42">
        <f>2400*0.338</f>
        <v>811.2</v>
      </c>
      <c r="C1454" s="42">
        <v>506</v>
      </c>
      <c r="D1454" s="53" t="str">
        <f>LEFT(Table1[[#This Row],[Eelarvekonto]],2)</f>
        <v>50</v>
      </c>
      <c r="E1454" s="53" t="str">
        <f>VLOOKUP(Table1[[#This Row],[Eelarvekonto]],Table5[[Konto]:[Konto nimetus]],2,FALSE)</f>
        <v>Tööjõukuludega kaasnevad maksud ja sotsiaalkindlustusmaksed</v>
      </c>
      <c r="F1454" s="42" t="s">
        <v>139</v>
      </c>
      <c r="G1454" s="42" t="s">
        <v>24</v>
      </c>
      <c r="H1454" s="42"/>
      <c r="I1454" s="42"/>
      <c r="J1454" s="42" t="s">
        <v>335</v>
      </c>
      <c r="K1454" s="42" t="s">
        <v>79</v>
      </c>
      <c r="L1454" s="81" t="s">
        <v>334</v>
      </c>
      <c r="M1454" s="82" t="str">
        <f>LEFT(Table1[[#This Row],[Tegevusala kood]],2)</f>
        <v>06</v>
      </c>
      <c r="N1454" s="53" t="str">
        <f>VLOOKUP(Table1[[#This Row],[Tegevusala kood]],Table4[[Tegevusala kood]:[Tegevusala alanimetus]],2,FALSE)</f>
        <v>Laekvere teeninduspiirkond</v>
      </c>
      <c r="O1454" s="42"/>
      <c r="P1454" s="42"/>
      <c r="Q1454" s="53" t="str">
        <f>VLOOKUP(Table1[[#This Row],[Eelarvekonto]],Table5[[Konto]:[Kontode alanimetus]],5,FALSE)</f>
        <v>Tööjõukulud</v>
      </c>
      <c r="R1454" s="53" t="str">
        <f>VLOOKUP(Table1[[#This Row],[Tegevusala kood]],Table4[[Tegevusala kood]:[Tegevusala alanimetus]],4,FALSE)</f>
        <v>Muu elamu- ja kommunaalmajanduse tegevus</v>
      </c>
      <c r="S1454" s="53"/>
      <c r="T1454" s="53"/>
      <c r="U1454" s="53">
        <f>Table1[[#This Row],[Summa]]+Table1[[#This Row],[I Muudatus]]+Table1[[#This Row],[II Muudatus]]</f>
        <v>811.2</v>
      </c>
    </row>
    <row r="1455" spans="1:21" ht="14.25" hidden="1" customHeight="1" x14ac:dyDescent="0.25">
      <c r="A1455" s="42" t="s">
        <v>1481</v>
      </c>
      <c r="B1455" s="42">
        <f>392.4+228+392.4</f>
        <v>1012.8</v>
      </c>
      <c r="C1455" s="52">
        <v>5002</v>
      </c>
      <c r="D1455" s="53" t="str">
        <f>LEFT(Table1[[#This Row],[Eelarvekonto]],2)</f>
        <v>50</v>
      </c>
      <c r="E1455" s="53" t="str">
        <f>VLOOKUP(Table1[[#This Row],[Eelarvekonto]],Table5[[Konto]:[Konto nimetus]],2,FALSE)</f>
        <v>Töötajate töötasud</v>
      </c>
      <c r="F1455" s="68" t="s">
        <v>139</v>
      </c>
      <c r="G1455" s="68" t="s">
        <v>24</v>
      </c>
      <c r="H1455" s="68"/>
      <c r="I1455" s="68"/>
      <c r="J1455" s="68" t="s">
        <v>320</v>
      </c>
      <c r="K1455" s="68" t="s">
        <v>80</v>
      </c>
      <c r="L1455" s="58" t="s">
        <v>329</v>
      </c>
      <c r="M1455" s="82" t="str">
        <f>LEFT(Table1[[#This Row],[Tegevusala kood]],2)</f>
        <v>06</v>
      </c>
      <c r="N1455" s="53" t="str">
        <f>VLOOKUP(Table1[[#This Row],[Tegevusala kood]],Table4[[Tegevusala kood]:[Tegevusala alanimetus]],2,FALSE)</f>
        <v>Kalmistud</v>
      </c>
      <c r="O1455" s="42"/>
      <c r="P1455" s="42"/>
      <c r="Q1455" s="53" t="str">
        <f>VLOOKUP(Table1[[#This Row],[Eelarvekonto]],Table5[[Konto]:[Kontode alanimetus]],5,FALSE)</f>
        <v>Tööjõukulud</v>
      </c>
      <c r="R1455" s="53" t="str">
        <f>VLOOKUP(Table1[[#This Row],[Tegevusala kood]],Table4[[Tegevusala kood]:[Tegevusala alanimetus]],4,FALSE)</f>
        <v>Muu elamu- ja kommunaalmajanduse tegevus</v>
      </c>
      <c r="S1455" s="53"/>
      <c r="T1455" s="53"/>
      <c r="U1455" s="53">
        <f>Table1[[#This Row],[Summa]]+Table1[[#This Row],[I Muudatus]]+Table1[[#This Row],[II Muudatus]]</f>
        <v>1012.8</v>
      </c>
    </row>
    <row r="1456" spans="1:21" ht="14.25" hidden="1" customHeight="1" x14ac:dyDescent="0.25">
      <c r="A1456" s="42" t="s">
        <v>1482</v>
      </c>
      <c r="B1456" s="42">
        <f>1012.8*0.338</f>
        <v>342.32640000000004</v>
      </c>
      <c r="C1456" s="42">
        <v>506</v>
      </c>
      <c r="D1456" s="53" t="str">
        <f>LEFT(Table1[[#This Row],[Eelarvekonto]],2)</f>
        <v>50</v>
      </c>
      <c r="E1456" s="53" t="str">
        <f>VLOOKUP(Table1[[#This Row],[Eelarvekonto]],Table5[[Konto]:[Konto nimetus]],2,FALSE)</f>
        <v>Tööjõukuludega kaasnevad maksud ja sotsiaalkindlustusmaksed</v>
      </c>
      <c r="F1456" s="68" t="s">
        <v>139</v>
      </c>
      <c r="G1456" s="68" t="s">
        <v>24</v>
      </c>
      <c r="H1456" s="68"/>
      <c r="I1456" s="68"/>
      <c r="J1456" s="68" t="s">
        <v>320</v>
      </c>
      <c r="K1456" s="68" t="s">
        <v>80</v>
      </c>
      <c r="L1456" s="58" t="s">
        <v>329</v>
      </c>
      <c r="M1456" s="82" t="str">
        <f>LEFT(Table1[[#This Row],[Tegevusala kood]],2)</f>
        <v>06</v>
      </c>
      <c r="N1456" s="53" t="str">
        <f>VLOOKUP(Table1[[#This Row],[Tegevusala kood]],Table4[[Tegevusala kood]:[Tegevusala alanimetus]],2,FALSE)</f>
        <v>Kalmistud</v>
      </c>
      <c r="O1456" s="42"/>
      <c r="P1456" s="42"/>
      <c r="Q1456" s="53" t="str">
        <f>VLOOKUP(Table1[[#This Row],[Eelarvekonto]],Table5[[Konto]:[Kontode alanimetus]],5,FALSE)</f>
        <v>Tööjõukulud</v>
      </c>
      <c r="R1456" s="53" t="str">
        <f>VLOOKUP(Table1[[#This Row],[Tegevusala kood]],Table4[[Tegevusala kood]:[Tegevusala alanimetus]],4,FALSE)</f>
        <v>Muu elamu- ja kommunaalmajanduse tegevus</v>
      </c>
      <c r="S1456" s="53"/>
      <c r="T1456" s="53"/>
      <c r="U1456" s="53">
        <f>Table1[[#This Row],[Summa]]+Table1[[#This Row],[I Muudatus]]+Table1[[#This Row],[II Muudatus]]</f>
        <v>342.32640000000004</v>
      </c>
    </row>
    <row r="1457" spans="1:21" ht="14.25" hidden="1" customHeight="1" x14ac:dyDescent="0.25">
      <c r="A1457" s="42" t="s">
        <v>1483</v>
      </c>
      <c r="B1457" s="42">
        <f>12*100</f>
        <v>1200</v>
      </c>
      <c r="C1457" s="42">
        <v>5002</v>
      </c>
      <c r="D1457" s="53" t="str">
        <f>LEFT(Table1[[#This Row],[Eelarvekonto]],2)</f>
        <v>50</v>
      </c>
      <c r="E1457" s="53" t="str">
        <f>VLOOKUP(Table1[[#This Row],[Eelarvekonto]],Table5[[Konto]:[Konto nimetus]],2,FALSE)</f>
        <v>Töötajate töötasud</v>
      </c>
      <c r="F1457" s="42" t="s">
        <v>139</v>
      </c>
      <c r="G1457" s="42" t="s">
        <v>24</v>
      </c>
      <c r="H1457" s="42"/>
      <c r="I1457" s="42"/>
      <c r="J1457" s="42" t="s">
        <v>181</v>
      </c>
      <c r="K1457" s="42" t="s">
        <v>179</v>
      </c>
      <c r="L1457" s="81" t="s">
        <v>180</v>
      </c>
      <c r="M1457" s="82" t="str">
        <f>LEFT(Table1[[#This Row],[Tegevusala kood]],2)</f>
        <v>08</v>
      </c>
      <c r="N1457" s="53" t="str">
        <f>VLOOKUP(Table1[[#This Row],[Tegevusala kood]],Table4[[Tegevusala kood]:[Tegevusala alanimetus]],2,FALSE)</f>
        <v>Muuga Spordihoone</v>
      </c>
      <c r="O1457" s="42"/>
      <c r="P1457" s="42"/>
      <c r="Q1457" s="53" t="str">
        <f>VLOOKUP(Table1[[#This Row],[Eelarvekonto]],Table5[[Konto]:[Kontode alanimetus]],5,FALSE)</f>
        <v>Tööjõukulud</v>
      </c>
      <c r="R1457" s="53" t="str">
        <f>VLOOKUP(Table1[[#This Row],[Tegevusala kood]],Table4[[Tegevusala kood]:[Tegevusala alanimetus]],4,FALSE)</f>
        <v>Sport</v>
      </c>
      <c r="S1457" s="53"/>
      <c r="T1457" s="53"/>
      <c r="U1457" s="53">
        <f>Table1[[#This Row],[Summa]]+Table1[[#This Row],[I Muudatus]]+Table1[[#This Row],[II Muudatus]]</f>
        <v>1200</v>
      </c>
    </row>
    <row r="1458" spans="1:21" ht="14.25" hidden="1" customHeight="1" x14ac:dyDescent="0.25">
      <c r="A1458" s="42" t="s">
        <v>1484</v>
      </c>
      <c r="B1458" s="42">
        <f>1200*0.338</f>
        <v>405.6</v>
      </c>
      <c r="C1458" s="42">
        <v>506</v>
      </c>
      <c r="D1458" s="53" t="str">
        <f>LEFT(Table1[[#This Row],[Eelarvekonto]],2)</f>
        <v>50</v>
      </c>
      <c r="E1458" s="53" t="str">
        <f>VLOOKUP(Table1[[#This Row],[Eelarvekonto]],Table5[[Konto]:[Konto nimetus]],2,FALSE)</f>
        <v>Tööjõukuludega kaasnevad maksud ja sotsiaalkindlustusmaksed</v>
      </c>
      <c r="F1458" s="42" t="s">
        <v>139</v>
      </c>
      <c r="G1458" s="42" t="s">
        <v>24</v>
      </c>
      <c r="H1458" s="42"/>
      <c r="I1458" s="42"/>
      <c r="J1458" s="42" t="s">
        <v>181</v>
      </c>
      <c r="K1458" s="42" t="s">
        <v>179</v>
      </c>
      <c r="L1458" s="81" t="s">
        <v>180</v>
      </c>
      <c r="M1458" s="82" t="str">
        <f>LEFT(Table1[[#This Row],[Tegevusala kood]],2)</f>
        <v>08</v>
      </c>
      <c r="N1458" s="53" t="str">
        <f>VLOOKUP(Table1[[#This Row],[Tegevusala kood]],Table4[[Tegevusala kood]:[Tegevusala alanimetus]],2,FALSE)</f>
        <v>Muuga Spordihoone</v>
      </c>
      <c r="O1458" s="42"/>
      <c r="P1458" s="42"/>
      <c r="Q1458" s="53" t="str">
        <f>VLOOKUP(Table1[[#This Row],[Eelarvekonto]],Table5[[Konto]:[Kontode alanimetus]],5,FALSE)</f>
        <v>Tööjõukulud</v>
      </c>
      <c r="R1458" s="53" t="str">
        <f>VLOOKUP(Table1[[#This Row],[Tegevusala kood]],Table4[[Tegevusala kood]:[Tegevusala alanimetus]],4,FALSE)</f>
        <v>Sport</v>
      </c>
      <c r="S1458" s="53"/>
      <c r="T1458" s="53"/>
      <c r="U1458" s="53">
        <f>Table1[[#This Row],[Summa]]+Table1[[#This Row],[I Muudatus]]+Table1[[#This Row],[II Muudatus]]</f>
        <v>405.6</v>
      </c>
    </row>
    <row r="1459" spans="1:21" ht="14.25" hidden="1" customHeight="1" x14ac:dyDescent="0.25">
      <c r="A1459" s="42" t="s">
        <v>1486</v>
      </c>
      <c r="B1459" s="42">
        <v>1056</v>
      </c>
      <c r="C1459" s="42">
        <v>5002</v>
      </c>
      <c r="D1459" s="53" t="str">
        <f>LEFT(Table1[[#This Row],[Eelarvekonto]],2)</f>
        <v>50</v>
      </c>
      <c r="E1459" s="53" t="str">
        <f>VLOOKUP(Table1[[#This Row],[Eelarvekonto]],Table5[[Konto]:[Konto nimetus]],2,FALSE)</f>
        <v>Töötajate töötasud</v>
      </c>
      <c r="F1459" s="68" t="s">
        <v>139</v>
      </c>
      <c r="G1459" s="68" t="s">
        <v>24</v>
      </c>
      <c r="H1459" s="68"/>
      <c r="I1459" s="68"/>
      <c r="J1459" s="68" t="s">
        <v>231</v>
      </c>
      <c r="K1459" s="68" t="s">
        <v>230</v>
      </c>
      <c r="L1459" s="58" t="s">
        <v>229</v>
      </c>
      <c r="M1459" s="82" t="str">
        <f>LEFT(Table1[[#This Row],[Tegevusala kood]],2)</f>
        <v>08</v>
      </c>
      <c r="N1459" s="53" t="str">
        <f>VLOOKUP(Table1[[#This Row],[Tegevusala kood]],Table4[[Tegevusala kood]:[Tegevusala alanimetus]],2,FALSE)</f>
        <v>Viru-Jaagupi Raamatukogu</v>
      </c>
      <c r="O1459" s="42"/>
      <c r="P1459" s="42"/>
      <c r="Q1459" s="53" t="str">
        <f>VLOOKUP(Table1[[#This Row],[Eelarvekonto]],Table5[[Konto]:[Kontode alanimetus]],5,FALSE)</f>
        <v>Tööjõukulud</v>
      </c>
      <c r="R1459" s="53" t="str">
        <f>VLOOKUP(Table1[[#This Row],[Tegevusala kood]],Table4[[Tegevusala kood]:[Tegevusala alanimetus]],4,FALSE)</f>
        <v>Raamatukogud</v>
      </c>
      <c r="S1459" s="53"/>
      <c r="T1459" s="53"/>
      <c r="U1459" s="53">
        <f>Table1[[#This Row],[Summa]]+Table1[[#This Row],[I Muudatus]]+Table1[[#This Row],[II Muudatus]]</f>
        <v>1056</v>
      </c>
    </row>
    <row r="1460" spans="1:21" ht="14.25" hidden="1" customHeight="1" x14ac:dyDescent="0.25">
      <c r="A1460" s="42" t="s">
        <v>1487</v>
      </c>
      <c r="B1460" s="42">
        <v>504</v>
      </c>
      <c r="C1460" s="42">
        <v>5002</v>
      </c>
      <c r="D1460" s="53" t="str">
        <f>LEFT(Table1[[#This Row],[Eelarvekonto]],2)</f>
        <v>50</v>
      </c>
      <c r="E1460" s="53" t="str">
        <f>VLOOKUP(Table1[[#This Row],[Eelarvekonto]],Table5[[Konto]:[Konto nimetus]],2,FALSE)</f>
        <v>Töötajate töötasud</v>
      </c>
      <c r="F1460" s="68" t="s">
        <v>139</v>
      </c>
      <c r="G1460" s="68" t="s">
        <v>24</v>
      </c>
      <c r="H1460" s="68"/>
      <c r="I1460" s="68"/>
      <c r="J1460" s="68" t="s">
        <v>235</v>
      </c>
      <c r="K1460" s="68" t="s">
        <v>234</v>
      </c>
      <c r="L1460" s="58" t="s">
        <v>233</v>
      </c>
      <c r="M1460" s="82" t="str">
        <f>LEFT(Table1[[#This Row],[Tegevusala kood]],2)</f>
        <v>08</v>
      </c>
      <c r="N1460" s="53" t="str">
        <f>VLOOKUP(Table1[[#This Row],[Tegevusala kood]],Table4[[Tegevusala kood]:[Tegevusala alanimetus]],2,FALSE)</f>
        <v>Vinni-Pajusti Raamatukogu</v>
      </c>
      <c r="O1460" s="42"/>
      <c r="P1460" s="42"/>
      <c r="Q1460" s="53" t="str">
        <f>VLOOKUP(Table1[[#This Row],[Eelarvekonto]],Table5[[Konto]:[Kontode alanimetus]],5,FALSE)</f>
        <v>Tööjõukulud</v>
      </c>
      <c r="R1460" s="53" t="str">
        <f>VLOOKUP(Table1[[#This Row],[Tegevusala kood]],Table4[[Tegevusala kood]:[Tegevusala alanimetus]],4,FALSE)</f>
        <v>Raamatukogud</v>
      </c>
      <c r="S1460" s="53"/>
      <c r="T1460" s="53"/>
      <c r="U1460" s="53">
        <f>Table1[[#This Row],[Summa]]+Table1[[#This Row],[I Muudatus]]+Table1[[#This Row],[II Muudatus]]</f>
        <v>504</v>
      </c>
    </row>
    <row r="1461" spans="1:21" ht="14.25" hidden="1" customHeight="1" x14ac:dyDescent="0.25">
      <c r="A1461" s="42" t="s">
        <v>1488</v>
      </c>
      <c r="B1461" s="42">
        <v>720</v>
      </c>
      <c r="C1461" s="42">
        <v>5002</v>
      </c>
      <c r="D1461" s="53" t="str">
        <f>LEFT(Table1[[#This Row],[Eelarvekonto]],2)</f>
        <v>50</v>
      </c>
      <c r="E1461" s="53" t="str">
        <f>VLOOKUP(Table1[[#This Row],[Eelarvekonto]],Table5[[Konto]:[Konto nimetus]],2,FALSE)</f>
        <v>Töötajate töötasud</v>
      </c>
      <c r="F1461" s="68" t="s">
        <v>139</v>
      </c>
      <c r="G1461" s="68" t="s">
        <v>24</v>
      </c>
      <c r="H1461" s="68"/>
      <c r="I1461" s="68"/>
      <c r="J1461" s="68" t="s">
        <v>235</v>
      </c>
      <c r="K1461" s="68" t="s">
        <v>234</v>
      </c>
      <c r="L1461" s="58" t="s">
        <v>233</v>
      </c>
      <c r="M1461" s="82" t="str">
        <f>LEFT(Table1[[#This Row],[Tegevusala kood]],2)</f>
        <v>08</v>
      </c>
      <c r="N1461" s="53" t="str">
        <f>VLOOKUP(Table1[[#This Row],[Tegevusala kood]],Table4[[Tegevusala kood]:[Tegevusala alanimetus]],2,FALSE)</f>
        <v>Vinni-Pajusti Raamatukogu</v>
      </c>
      <c r="O1461" s="42"/>
      <c r="P1461" s="42"/>
      <c r="Q1461" s="53" t="str">
        <f>VLOOKUP(Table1[[#This Row],[Eelarvekonto]],Table5[[Konto]:[Kontode alanimetus]],5,FALSE)</f>
        <v>Tööjõukulud</v>
      </c>
      <c r="R1461" s="53" t="str">
        <f>VLOOKUP(Table1[[#This Row],[Tegevusala kood]],Table4[[Tegevusala kood]:[Tegevusala alanimetus]],4,FALSE)</f>
        <v>Raamatukogud</v>
      </c>
      <c r="S1461" s="53"/>
      <c r="T1461" s="53"/>
      <c r="U1461" s="53">
        <f>Table1[[#This Row],[Summa]]+Table1[[#This Row],[I Muudatus]]+Table1[[#This Row],[II Muudatus]]</f>
        <v>720</v>
      </c>
    </row>
    <row r="1462" spans="1:21" ht="14.25" hidden="1" customHeight="1" x14ac:dyDescent="0.25">
      <c r="A1462" s="42" t="s">
        <v>1489</v>
      </c>
      <c r="B1462" s="42">
        <v>336</v>
      </c>
      <c r="C1462" s="42">
        <v>5002</v>
      </c>
      <c r="D1462" s="53" t="str">
        <f>LEFT(Table1[[#This Row],[Eelarvekonto]],2)</f>
        <v>50</v>
      </c>
      <c r="E1462" s="53" t="str">
        <f>VLOOKUP(Table1[[#This Row],[Eelarvekonto]],Table5[[Konto]:[Konto nimetus]],2,FALSE)</f>
        <v>Töötajate töötasud</v>
      </c>
      <c r="F1462" s="68" t="s">
        <v>139</v>
      </c>
      <c r="G1462" s="68" t="s">
        <v>24</v>
      </c>
      <c r="H1462" s="68"/>
      <c r="I1462" s="68"/>
      <c r="J1462" s="68" t="s">
        <v>238</v>
      </c>
      <c r="K1462" s="68" t="s">
        <v>94</v>
      </c>
      <c r="L1462" s="58" t="s">
        <v>237</v>
      </c>
      <c r="M1462" s="82" t="str">
        <f>LEFT(Table1[[#This Row],[Tegevusala kood]],2)</f>
        <v>08</v>
      </c>
      <c r="N1462" s="53" t="str">
        <f>VLOOKUP(Table1[[#This Row],[Tegevusala kood]],Table4[[Tegevusala kood]:[Tegevusala alanimetus]],2,FALSE)</f>
        <v>Ulvi Raamatukogu</v>
      </c>
      <c r="O1462" s="42"/>
      <c r="P1462" s="42"/>
      <c r="Q1462" s="53" t="str">
        <f>VLOOKUP(Table1[[#This Row],[Eelarvekonto]],Table5[[Konto]:[Kontode alanimetus]],5,FALSE)</f>
        <v>Tööjõukulud</v>
      </c>
      <c r="R1462" s="53" t="str">
        <f>VLOOKUP(Table1[[#This Row],[Tegevusala kood]],Table4[[Tegevusala kood]:[Tegevusala alanimetus]],4,FALSE)</f>
        <v>Raamatukogud</v>
      </c>
      <c r="S1462" s="53"/>
      <c r="T1462" s="53"/>
      <c r="U1462" s="53">
        <f>Table1[[#This Row],[Summa]]+Table1[[#This Row],[I Muudatus]]+Table1[[#This Row],[II Muudatus]]</f>
        <v>336</v>
      </c>
    </row>
    <row r="1463" spans="1:21" ht="14.25" hidden="1" customHeight="1" x14ac:dyDescent="0.25">
      <c r="A1463" s="42" t="s">
        <v>1490</v>
      </c>
      <c r="B1463" s="42">
        <v>1056</v>
      </c>
      <c r="C1463" s="42">
        <v>5002</v>
      </c>
      <c r="D1463" s="53" t="str">
        <f>LEFT(Table1[[#This Row],[Eelarvekonto]],2)</f>
        <v>50</v>
      </c>
      <c r="E1463" s="53" t="str">
        <f>VLOOKUP(Table1[[#This Row],[Eelarvekonto]],Table5[[Konto]:[Konto nimetus]],2,FALSE)</f>
        <v>Töötajate töötasud</v>
      </c>
      <c r="F1463" s="68" t="s">
        <v>139</v>
      </c>
      <c r="G1463" s="68" t="s">
        <v>24</v>
      </c>
      <c r="H1463" s="68"/>
      <c r="I1463" s="68"/>
      <c r="J1463" s="68" t="s">
        <v>245</v>
      </c>
      <c r="K1463" s="68" t="s">
        <v>244</v>
      </c>
      <c r="L1463" s="58" t="s">
        <v>243</v>
      </c>
      <c r="M1463" s="82" t="str">
        <f>LEFT(Table1[[#This Row],[Tegevusala kood]],2)</f>
        <v>08</v>
      </c>
      <c r="N1463" s="53" t="str">
        <f>VLOOKUP(Table1[[#This Row],[Tegevusala kood]],Table4[[Tegevusala kood]:[Tegevusala alanimetus]],2,FALSE)</f>
        <v>Roela Raamatukogu</v>
      </c>
      <c r="O1463" s="42"/>
      <c r="P1463" s="42"/>
      <c r="Q1463" s="53" t="str">
        <f>VLOOKUP(Table1[[#This Row],[Eelarvekonto]],Table5[[Konto]:[Kontode alanimetus]],5,FALSE)</f>
        <v>Tööjõukulud</v>
      </c>
      <c r="R1463" s="53" t="str">
        <f>VLOOKUP(Table1[[#This Row],[Tegevusala kood]],Table4[[Tegevusala kood]:[Tegevusala alanimetus]],4,FALSE)</f>
        <v>Raamatukogud</v>
      </c>
      <c r="S1463" s="53"/>
      <c r="T1463" s="53"/>
      <c r="U1463" s="53">
        <f>Table1[[#This Row],[Summa]]+Table1[[#This Row],[I Muudatus]]+Table1[[#This Row],[II Muudatus]]</f>
        <v>1056</v>
      </c>
    </row>
    <row r="1464" spans="1:21" ht="14.25" hidden="1" customHeight="1" x14ac:dyDescent="0.25">
      <c r="A1464" s="42" t="s">
        <v>1491</v>
      </c>
      <c r="B1464" s="42">
        <v>948</v>
      </c>
      <c r="C1464" s="42">
        <v>5002</v>
      </c>
      <c r="D1464" s="53" t="str">
        <f>LEFT(Table1[[#This Row],[Eelarvekonto]],2)</f>
        <v>50</v>
      </c>
      <c r="E1464" s="53" t="str">
        <f>VLOOKUP(Table1[[#This Row],[Eelarvekonto]],Table5[[Konto]:[Konto nimetus]],2,FALSE)</f>
        <v>Töötajate töötasud</v>
      </c>
      <c r="F1464" s="68" t="s">
        <v>139</v>
      </c>
      <c r="G1464" s="68" t="s">
        <v>24</v>
      </c>
      <c r="H1464" s="68"/>
      <c r="I1464" s="68"/>
      <c r="J1464" s="68" t="s">
        <v>242</v>
      </c>
      <c r="K1464" s="68" t="s">
        <v>241</v>
      </c>
      <c r="L1464" s="58" t="s">
        <v>240</v>
      </c>
      <c r="M1464" s="82" t="str">
        <f>LEFT(Table1[[#This Row],[Tegevusala kood]],2)</f>
        <v>08</v>
      </c>
      <c r="N1464" s="53" t="str">
        <f>VLOOKUP(Table1[[#This Row],[Tegevusala kood]],Table4[[Tegevusala kood]:[Tegevusala alanimetus]],2,FALSE)</f>
        <v>Tudu Raamatukogu</v>
      </c>
      <c r="O1464" s="42"/>
      <c r="P1464" s="42"/>
      <c r="Q1464" s="53" t="str">
        <f>VLOOKUP(Table1[[#This Row],[Eelarvekonto]],Table5[[Konto]:[Kontode alanimetus]],5,FALSE)</f>
        <v>Tööjõukulud</v>
      </c>
      <c r="R1464" s="53" t="str">
        <f>VLOOKUP(Table1[[#This Row],[Tegevusala kood]],Table4[[Tegevusala kood]:[Tegevusala alanimetus]],4,FALSE)</f>
        <v>Raamatukogud</v>
      </c>
      <c r="S1464" s="53"/>
      <c r="T1464" s="53"/>
      <c r="U1464" s="53">
        <f>Table1[[#This Row],[Summa]]+Table1[[#This Row],[I Muudatus]]+Table1[[#This Row],[II Muudatus]]</f>
        <v>948</v>
      </c>
    </row>
    <row r="1465" spans="1:21" ht="14.25" hidden="1" customHeight="1" x14ac:dyDescent="0.25">
      <c r="A1465" s="42" t="s">
        <v>1492</v>
      </c>
      <c r="B1465" s="42">
        <v>356.928</v>
      </c>
      <c r="C1465" s="42">
        <v>506</v>
      </c>
      <c r="D1465" s="53" t="str">
        <f>LEFT(Table1[[#This Row],[Eelarvekonto]],2)</f>
        <v>50</v>
      </c>
      <c r="E1465" s="53" t="str">
        <f>VLOOKUP(Table1[[#This Row],[Eelarvekonto]],Table5[[Konto]:[Konto nimetus]],2,FALSE)</f>
        <v>Tööjõukuludega kaasnevad maksud ja sotsiaalkindlustusmaksed</v>
      </c>
      <c r="F1465" s="68" t="s">
        <v>139</v>
      </c>
      <c r="G1465" s="68" t="s">
        <v>24</v>
      </c>
      <c r="H1465" s="68"/>
      <c r="I1465" s="68"/>
      <c r="J1465" s="68" t="s">
        <v>231</v>
      </c>
      <c r="K1465" s="68" t="s">
        <v>230</v>
      </c>
      <c r="L1465" s="58" t="s">
        <v>229</v>
      </c>
      <c r="M1465" s="82" t="str">
        <f>LEFT(Table1[[#This Row],[Tegevusala kood]],2)</f>
        <v>08</v>
      </c>
      <c r="N1465" s="53" t="str">
        <f>VLOOKUP(Table1[[#This Row],[Tegevusala kood]],Table4[[Tegevusala kood]:[Tegevusala alanimetus]],2,FALSE)</f>
        <v>Viru-Jaagupi Raamatukogu</v>
      </c>
      <c r="O1465" s="42"/>
      <c r="P1465" s="42"/>
      <c r="Q1465" s="53" t="str">
        <f>VLOOKUP(Table1[[#This Row],[Eelarvekonto]],Table5[[Konto]:[Kontode alanimetus]],5,FALSE)</f>
        <v>Tööjõukulud</v>
      </c>
      <c r="R1465" s="53" t="str">
        <f>VLOOKUP(Table1[[#This Row],[Tegevusala kood]],Table4[[Tegevusala kood]:[Tegevusala alanimetus]],4,FALSE)</f>
        <v>Raamatukogud</v>
      </c>
      <c r="S1465" s="53"/>
      <c r="T1465" s="53"/>
      <c r="U1465" s="53">
        <f>Table1[[#This Row],[Summa]]+Table1[[#This Row],[I Muudatus]]+Table1[[#This Row],[II Muudatus]]</f>
        <v>356.928</v>
      </c>
    </row>
    <row r="1466" spans="1:21" ht="14.25" hidden="1" customHeight="1" x14ac:dyDescent="0.25">
      <c r="A1466" s="42" t="s">
        <v>1493</v>
      </c>
      <c r="B1466" s="42">
        <v>170.352</v>
      </c>
      <c r="C1466" s="42">
        <v>506</v>
      </c>
      <c r="D1466" s="53" t="str">
        <f>LEFT(Table1[[#This Row],[Eelarvekonto]],2)</f>
        <v>50</v>
      </c>
      <c r="E1466" s="53" t="str">
        <f>VLOOKUP(Table1[[#This Row],[Eelarvekonto]],Table5[[Konto]:[Konto nimetus]],2,FALSE)</f>
        <v>Tööjõukuludega kaasnevad maksud ja sotsiaalkindlustusmaksed</v>
      </c>
      <c r="F1466" s="68" t="s">
        <v>139</v>
      </c>
      <c r="G1466" s="68" t="s">
        <v>24</v>
      </c>
      <c r="H1466" s="68"/>
      <c r="I1466" s="68"/>
      <c r="J1466" s="68" t="s">
        <v>235</v>
      </c>
      <c r="K1466" s="68" t="s">
        <v>234</v>
      </c>
      <c r="L1466" s="58" t="s">
        <v>233</v>
      </c>
      <c r="M1466" s="82" t="str">
        <f>LEFT(Table1[[#This Row],[Tegevusala kood]],2)</f>
        <v>08</v>
      </c>
      <c r="N1466" s="53" t="str">
        <f>VLOOKUP(Table1[[#This Row],[Tegevusala kood]],Table4[[Tegevusala kood]:[Tegevusala alanimetus]],2,FALSE)</f>
        <v>Vinni-Pajusti Raamatukogu</v>
      </c>
      <c r="O1466" s="42"/>
      <c r="P1466" s="42"/>
      <c r="Q1466" s="53" t="str">
        <f>VLOOKUP(Table1[[#This Row],[Eelarvekonto]],Table5[[Konto]:[Kontode alanimetus]],5,FALSE)</f>
        <v>Tööjõukulud</v>
      </c>
      <c r="R1466" s="53" t="str">
        <f>VLOOKUP(Table1[[#This Row],[Tegevusala kood]],Table4[[Tegevusala kood]:[Tegevusala alanimetus]],4,FALSE)</f>
        <v>Raamatukogud</v>
      </c>
      <c r="S1466" s="53"/>
      <c r="T1466" s="53"/>
      <c r="U1466" s="53">
        <f>Table1[[#This Row],[Summa]]+Table1[[#This Row],[I Muudatus]]+Table1[[#This Row],[II Muudatus]]</f>
        <v>170.352</v>
      </c>
    </row>
    <row r="1467" spans="1:21" ht="14.25" hidden="1" customHeight="1" x14ac:dyDescent="0.25">
      <c r="A1467" s="42" t="s">
        <v>1494</v>
      </c>
      <c r="B1467" s="42">
        <v>243.36</v>
      </c>
      <c r="C1467" s="42">
        <v>506</v>
      </c>
      <c r="D1467" s="53" t="str">
        <f>LEFT(Table1[[#This Row],[Eelarvekonto]],2)</f>
        <v>50</v>
      </c>
      <c r="E1467" s="53" t="str">
        <f>VLOOKUP(Table1[[#This Row],[Eelarvekonto]],Table5[[Konto]:[Konto nimetus]],2,FALSE)</f>
        <v>Tööjõukuludega kaasnevad maksud ja sotsiaalkindlustusmaksed</v>
      </c>
      <c r="F1467" s="68" t="s">
        <v>139</v>
      </c>
      <c r="G1467" s="68" t="s">
        <v>24</v>
      </c>
      <c r="H1467" s="68"/>
      <c r="I1467" s="68"/>
      <c r="J1467" s="68" t="s">
        <v>235</v>
      </c>
      <c r="K1467" s="68" t="s">
        <v>234</v>
      </c>
      <c r="L1467" s="58" t="s">
        <v>233</v>
      </c>
      <c r="M1467" s="82" t="str">
        <f>LEFT(Table1[[#This Row],[Tegevusala kood]],2)</f>
        <v>08</v>
      </c>
      <c r="N1467" s="53" t="str">
        <f>VLOOKUP(Table1[[#This Row],[Tegevusala kood]],Table4[[Tegevusala kood]:[Tegevusala alanimetus]],2,FALSE)</f>
        <v>Vinni-Pajusti Raamatukogu</v>
      </c>
      <c r="O1467" s="42"/>
      <c r="P1467" s="42"/>
      <c r="Q1467" s="53" t="str">
        <f>VLOOKUP(Table1[[#This Row],[Eelarvekonto]],Table5[[Konto]:[Kontode alanimetus]],5,FALSE)</f>
        <v>Tööjõukulud</v>
      </c>
      <c r="R1467" s="53" t="str">
        <f>VLOOKUP(Table1[[#This Row],[Tegevusala kood]],Table4[[Tegevusala kood]:[Tegevusala alanimetus]],4,FALSE)</f>
        <v>Raamatukogud</v>
      </c>
      <c r="S1467" s="53"/>
      <c r="T1467" s="53"/>
      <c r="U1467" s="53">
        <f>Table1[[#This Row],[Summa]]+Table1[[#This Row],[I Muudatus]]+Table1[[#This Row],[II Muudatus]]</f>
        <v>243.36</v>
      </c>
    </row>
    <row r="1468" spans="1:21" ht="14.25" hidden="1" customHeight="1" x14ac:dyDescent="0.25">
      <c r="A1468" s="42" t="s">
        <v>1495</v>
      </c>
      <c r="B1468" s="42">
        <v>113.568</v>
      </c>
      <c r="C1468" s="42">
        <v>506</v>
      </c>
      <c r="D1468" s="53" t="str">
        <f>LEFT(Table1[[#This Row],[Eelarvekonto]],2)</f>
        <v>50</v>
      </c>
      <c r="E1468" s="53" t="str">
        <f>VLOOKUP(Table1[[#This Row],[Eelarvekonto]],Table5[[Konto]:[Konto nimetus]],2,FALSE)</f>
        <v>Tööjõukuludega kaasnevad maksud ja sotsiaalkindlustusmaksed</v>
      </c>
      <c r="F1468" s="68" t="s">
        <v>139</v>
      </c>
      <c r="G1468" s="68" t="s">
        <v>24</v>
      </c>
      <c r="H1468" s="68"/>
      <c r="I1468" s="68"/>
      <c r="J1468" s="68" t="s">
        <v>238</v>
      </c>
      <c r="K1468" s="68" t="s">
        <v>94</v>
      </c>
      <c r="L1468" s="58" t="s">
        <v>237</v>
      </c>
      <c r="M1468" s="82" t="str">
        <f>LEFT(Table1[[#This Row],[Tegevusala kood]],2)</f>
        <v>08</v>
      </c>
      <c r="N1468" s="53" t="str">
        <f>VLOOKUP(Table1[[#This Row],[Tegevusala kood]],Table4[[Tegevusala kood]:[Tegevusala alanimetus]],2,FALSE)</f>
        <v>Ulvi Raamatukogu</v>
      </c>
      <c r="O1468" s="42"/>
      <c r="P1468" s="42"/>
      <c r="Q1468" s="53" t="str">
        <f>VLOOKUP(Table1[[#This Row],[Eelarvekonto]],Table5[[Konto]:[Kontode alanimetus]],5,FALSE)</f>
        <v>Tööjõukulud</v>
      </c>
      <c r="R1468" s="53" t="str">
        <f>VLOOKUP(Table1[[#This Row],[Tegevusala kood]],Table4[[Tegevusala kood]:[Tegevusala alanimetus]],4,FALSE)</f>
        <v>Raamatukogud</v>
      </c>
      <c r="S1468" s="53"/>
      <c r="T1468" s="53"/>
      <c r="U1468" s="53">
        <f>Table1[[#This Row],[Summa]]+Table1[[#This Row],[I Muudatus]]+Table1[[#This Row],[II Muudatus]]</f>
        <v>113.568</v>
      </c>
    </row>
    <row r="1469" spans="1:21" ht="14.25" hidden="1" customHeight="1" x14ac:dyDescent="0.25">
      <c r="A1469" s="42" t="s">
        <v>1496</v>
      </c>
      <c r="B1469" s="42">
        <v>356.928</v>
      </c>
      <c r="C1469" s="42">
        <v>506</v>
      </c>
      <c r="D1469" s="53" t="str">
        <f>LEFT(Table1[[#This Row],[Eelarvekonto]],2)</f>
        <v>50</v>
      </c>
      <c r="E1469" s="53" t="str">
        <f>VLOOKUP(Table1[[#This Row],[Eelarvekonto]],Table5[[Konto]:[Konto nimetus]],2,FALSE)</f>
        <v>Tööjõukuludega kaasnevad maksud ja sotsiaalkindlustusmaksed</v>
      </c>
      <c r="F1469" s="68" t="s">
        <v>139</v>
      </c>
      <c r="G1469" s="68" t="s">
        <v>24</v>
      </c>
      <c r="H1469" s="68"/>
      <c r="I1469" s="68"/>
      <c r="J1469" s="68" t="s">
        <v>245</v>
      </c>
      <c r="K1469" s="68" t="s">
        <v>244</v>
      </c>
      <c r="L1469" s="58" t="s">
        <v>243</v>
      </c>
      <c r="M1469" s="82" t="str">
        <f>LEFT(Table1[[#This Row],[Tegevusala kood]],2)</f>
        <v>08</v>
      </c>
      <c r="N1469" s="53" t="str">
        <f>VLOOKUP(Table1[[#This Row],[Tegevusala kood]],Table4[[Tegevusala kood]:[Tegevusala alanimetus]],2,FALSE)</f>
        <v>Roela Raamatukogu</v>
      </c>
      <c r="O1469" s="42"/>
      <c r="P1469" s="42"/>
      <c r="Q1469" s="53" t="str">
        <f>VLOOKUP(Table1[[#This Row],[Eelarvekonto]],Table5[[Konto]:[Kontode alanimetus]],5,FALSE)</f>
        <v>Tööjõukulud</v>
      </c>
      <c r="R1469" s="53" t="str">
        <f>VLOOKUP(Table1[[#This Row],[Tegevusala kood]],Table4[[Tegevusala kood]:[Tegevusala alanimetus]],4,FALSE)</f>
        <v>Raamatukogud</v>
      </c>
      <c r="S1469" s="53"/>
      <c r="T1469" s="53"/>
      <c r="U1469" s="53">
        <f>Table1[[#This Row],[Summa]]+Table1[[#This Row],[I Muudatus]]+Table1[[#This Row],[II Muudatus]]</f>
        <v>356.928</v>
      </c>
    </row>
    <row r="1470" spans="1:21" ht="14.25" hidden="1" customHeight="1" x14ac:dyDescent="0.25">
      <c r="A1470" s="42" t="s">
        <v>1497</v>
      </c>
      <c r="B1470" s="42">
        <v>320.42399999999998</v>
      </c>
      <c r="C1470" s="42">
        <v>506</v>
      </c>
      <c r="D1470" s="53" t="str">
        <f>LEFT(Table1[[#This Row],[Eelarvekonto]],2)</f>
        <v>50</v>
      </c>
      <c r="E1470" s="53" t="str">
        <f>VLOOKUP(Table1[[#This Row],[Eelarvekonto]],Table5[[Konto]:[Konto nimetus]],2,FALSE)</f>
        <v>Tööjõukuludega kaasnevad maksud ja sotsiaalkindlustusmaksed</v>
      </c>
      <c r="F1470" s="68" t="s">
        <v>139</v>
      </c>
      <c r="G1470" s="68" t="s">
        <v>24</v>
      </c>
      <c r="H1470" s="68"/>
      <c r="I1470" s="68"/>
      <c r="J1470" s="68" t="s">
        <v>242</v>
      </c>
      <c r="K1470" s="68" t="s">
        <v>241</v>
      </c>
      <c r="L1470" s="58" t="s">
        <v>240</v>
      </c>
      <c r="M1470" s="82" t="str">
        <f>LEFT(Table1[[#This Row],[Tegevusala kood]],2)</f>
        <v>08</v>
      </c>
      <c r="N1470" s="53" t="str">
        <f>VLOOKUP(Table1[[#This Row],[Tegevusala kood]],Table4[[Tegevusala kood]:[Tegevusala alanimetus]],2,FALSE)</f>
        <v>Tudu Raamatukogu</v>
      </c>
      <c r="O1470" s="42"/>
      <c r="P1470" s="42"/>
      <c r="Q1470" s="53" t="str">
        <f>VLOOKUP(Table1[[#This Row],[Eelarvekonto]],Table5[[Konto]:[Kontode alanimetus]],5,FALSE)</f>
        <v>Tööjõukulud</v>
      </c>
      <c r="R1470" s="53" t="str">
        <f>VLOOKUP(Table1[[#This Row],[Tegevusala kood]],Table4[[Tegevusala kood]:[Tegevusala alanimetus]],4,FALSE)</f>
        <v>Raamatukogud</v>
      </c>
      <c r="S1470" s="53"/>
      <c r="T1470" s="53"/>
      <c r="U1470" s="53">
        <f>Table1[[#This Row],[Summa]]+Table1[[#This Row],[I Muudatus]]+Table1[[#This Row],[II Muudatus]]</f>
        <v>320.42399999999998</v>
      </c>
    </row>
    <row r="1471" spans="1:21" ht="14.25" hidden="1" customHeight="1" x14ac:dyDescent="0.25">
      <c r="A1471" s="42" t="s">
        <v>1498</v>
      </c>
      <c r="B1471" s="42">
        <f>100*12</f>
        <v>1200</v>
      </c>
      <c r="C1471" s="42">
        <v>5002</v>
      </c>
      <c r="D1471" s="53" t="str">
        <f>LEFT(Table1[[#This Row],[Eelarvekonto]],2)</f>
        <v>50</v>
      </c>
      <c r="E1471" s="53" t="str">
        <f>VLOOKUP(Table1[[#This Row],[Eelarvekonto]],Table5[[Konto]:[Konto nimetus]],2,FALSE)</f>
        <v>Töötajate töötasud</v>
      </c>
      <c r="F1471" s="42" t="s">
        <v>139</v>
      </c>
      <c r="G1471" s="42" t="s">
        <v>24</v>
      </c>
      <c r="H1471" s="42"/>
      <c r="I1471" s="42"/>
      <c r="J1471" s="42" t="s">
        <v>185</v>
      </c>
      <c r="K1471" s="42" t="s">
        <v>102</v>
      </c>
      <c r="L1471" s="81" t="s">
        <v>184</v>
      </c>
      <c r="M1471" s="82" t="str">
        <f>LEFT(Table1[[#This Row],[Tegevusala kood]],2)</f>
        <v>08</v>
      </c>
      <c r="N1471" s="53" t="str">
        <f>VLOOKUP(Table1[[#This Row],[Tegevusala kood]],Table4[[Tegevusala kood]:[Tegevusala alanimetus]],2,FALSE)</f>
        <v>Vinni Vallamuuseum</v>
      </c>
      <c r="O1471" s="42"/>
      <c r="P1471" s="42"/>
      <c r="Q1471" s="53" t="str">
        <f>VLOOKUP(Table1[[#This Row],[Eelarvekonto]],Table5[[Konto]:[Kontode alanimetus]],5,FALSE)</f>
        <v>Tööjõukulud</v>
      </c>
      <c r="R1471" s="53" t="str">
        <f>VLOOKUP(Table1[[#This Row],[Tegevusala kood]],Table4[[Tegevusala kood]:[Tegevusala alanimetus]],4,FALSE)</f>
        <v>Muuseumid</v>
      </c>
      <c r="S1471" s="53"/>
      <c r="T1471" s="53"/>
      <c r="U1471" s="53">
        <f>Table1[[#This Row],[Summa]]+Table1[[#This Row],[I Muudatus]]+Table1[[#This Row],[II Muudatus]]</f>
        <v>1200</v>
      </c>
    </row>
    <row r="1472" spans="1:21" ht="14.25" hidden="1" customHeight="1" x14ac:dyDescent="0.25">
      <c r="A1472" s="42" t="s">
        <v>1499</v>
      </c>
      <c r="B1472" s="42">
        <f>1200*0.338</f>
        <v>405.6</v>
      </c>
      <c r="C1472" s="42">
        <v>506</v>
      </c>
      <c r="D1472" s="53" t="str">
        <f>LEFT(Table1[[#This Row],[Eelarvekonto]],2)</f>
        <v>50</v>
      </c>
      <c r="E1472" s="53" t="str">
        <f>VLOOKUP(Table1[[#This Row],[Eelarvekonto]],Table5[[Konto]:[Konto nimetus]],2,FALSE)</f>
        <v>Tööjõukuludega kaasnevad maksud ja sotsiaalkindlustusmaksed</v>
      </c>
      <c r="F1472" s="42" t="s">
        <v>139</v>
      </c>
      <c r="G1472" s="42" t="s">
        <v>24</v>
      </c>
      <c r="H1472" s="42"/>
      <c r="I1472" s="42"/>
      <c r="J1472" s="42" t="s">
        <v>185</v>
      </c>
      <c r="K1472" s="42" t="s">
        <v>102</v>
      </c>
      <c r="L1472" s="81" t="s">
        <v>184</v>
      </c>
      <c r="M1472" s="82" t="str">
        <f>LEFT(Table1[[#This Row],[Tegevusala kood]],2)</f>
        <v>08</v>
      </c>
      <c r="N1472" s="53" t="str">
        <f>VLOOKUP(Table1[[#This Row],[Tegevusala kood]],Table4[[Tegevusala kood]:[Tegevusala alanimetus]],2,FALSE)</f>
        <v>Vinni Vallamuuseum</v>
      </c>
      <c r="O1472" s="42"/>
      <c r="P1472" s="42"/>
      <c r="Q1472" s="53" t="str">
        <f>VLOOKUP(Table1[[#This Row],[Eelarvekonto]],Table5[[Konto]:[Kontode alanimetus]],5,FALSE)</f>
        <v>Tööjõukulud</v>
      </c>
      <c r="R1472" s="53" t="str">
        <f>VLOOKUP(Table1[[#This Row],[Tegevusala kood]],Table4[[Tegevusala kood]:[Tegevusala alanimetus]],4,FALSE)</f>
        <v>Muuseumid</v>
      </c>
      <c r="S1472" s="53"/>
      <c r="T1472" s="53"/>
      <c r="U1472" s="53">
        <f>Table1[[#This Row],[Summa]]+Table1[[#This Row],[I Muudatus]]+Table1[[#This Row],[II Muudatus]]</f>
        <v>405.6</v>
      </c>
    </row>
    <row r="1473" spans="1:21" ht="14.25" hidden="1" customHeight="1" x14ac:dyDescent="0.25">
      <c r="A1473" s="42" t="s">
        <v>1500</v>
      </c>
      <c r="B1473" s="42">
        <f>100*12</f>
        <v>1200</v>
      </c>
      <c r="C1473" s="42">
        <v>5002</v>
      </c>
      <c r="D1473" s="53" t="str">
        <f>LEFT(Table1[[#This Row],[Eelarvekonto]],2)</f>
        <v>50</v>
      </c>
      <c r="E1473" s="53" t="str">
        <f>VLOOKUP(Table1[[#This Row],[Eelarvekonto]],Table5[[Konto]:[Konto nimetus]],2,FALSE)</f>
        <v>Töötajate töötasud</v>
      </c>
      <c r="F1473" s="68" t="s">
        <v>139</v>
      </c>
      <c r="G1473" s="68" t="s">
        <v>24</v>
      </c>
      <c r="H1473" s="68"/>
      <c r="I1473" s="68"/>
      <c r="J1473" s="68" t="s">
        <v>306</v>
      </c>
      <c r="K1473" s="68" t="s">
        <v>304</v>
      </c>
      <c r="L1473" s="58" t="s">
        <v>305</v>
      </c>
      <c r="M1473" s="82" t="str">
        <f>LEFT(Table1[[#This Row],[Tegevusala kood]],2)</f>
        <v>09</v>
      </c>
      <c r="N1473" s="53" t="str">
        <f>VLOOKUP(Table1[[#This Row],[Tegevusala kood]],Table4[[Tegevusala kood]:[Tegevusala alanimetus]],2,FALSE)</f>
        <v>Vinni Lasteaed</v>
      </c>
      <c r="O1473" s="42"/>
      <c r="P1473" s="42"/>
      <c r="Q1473" s="53" t="str">
        <f>VLOOKUP(Table1[[#This Row],[Eelarvekonto]],Table5[[Konto]:[Kontode alanimetus]],5,FALSE)</f>
        <v>Tööjõukulud</v>
      </c>
      <c r="R1473" s="53" t="str">
        <f>VLOOKUP(Table1[[#This Row],[Tegevusala kood]],Table4[[Tegevusala kood]:[Tegevusala alanimetus]],4,FALSE)</f>
        <v>Alusharidus</v>
      </c>
      <c r="S1473" s="53"/>
      <c r="T1473" s="53"/>
      <c r="U1473" s="53">
        <f>Table1[[#This Row],[Summa]]+Table1[[#This Row],[I Muudatus]]+Table1[[#This Row],[II Muudatus]]</f>
        <v>1200</v>
      </c>
    </row>
    <row r="1474" spans="1:21" ht="14.25" hidden="1" customHeight="1" x14ac:dyDescent="0.25">
      <c r="A1474" s="42" t="s">
        <v>1501</v>
      </c>
      <c r="B1474" s="42">
        <v>405.6</v>
      </c>
      <c r="C1474" s="42">
        <v>506</v>
      </c>
      <c r="D1474" s="53" t="str">
        <f>LEFT(Table1[[#This Row],[Eelarvekonto]],2)</f>
        <v>50</v>
      </c>
      <c r="E1474" s="53" t="str">
        <f>VLOOKUP(Table1[[#This Row],[Eelarvekonto]],Table5[[Konto]:[Konto nimetus]],2,FALSE)</f>
        <v>Tööjõukuludega kaasnevad maksud ja sotsiaalkindlustusmaksed</v>
      </c>
      <c r="F1474" s="68" t="s">
        <v>139</v>
      </c>
      <c r="G1474" s="68" t="s">
        <v>24</v>
      </c>
      <c r="H1474" s="68"/>
      <c r="I1474" s="68"/>
      <c r="J1474" s="68" t="s">
        <v>306</v>
      </c>
      <c r="K1474" s="68" t="s">
        <v>304</v>
      </c>
      <c r="L1474" s="58" t="s">
        <v>305</v>
      </c>
      <c r="M1474" s="82" t="str">
        <f>LEFT(Table1[[#This Row],[Tegevusala kood]],2)</f>
        <v>09</v>
      </c>
      <c r="N1474" s="53" t="str">
        <f>VLOOKUP(Table1[[#This Row],[Tegevusala kood]],Table4[[Tegevusala kood]:[Tegevusala alanimetus]],2,FALSE)</f>
        <v>Vinni Lasteaed</v>
      </c>
      <c r="O1474" s="42"/>
      <c r="P1474" s="42"/>
      <c r="Q1474" s="53" t="str">
        <f>VLOOKUP(Table1[[#This Row],[Eelarvekonto]],Table5[[Konto]:[Kontode alanimetus]],5,FALSE)</f>
        <v>Tööjõukulud</v>
      </c>
      <c r="R1474" s="53" t="str">
        <f>VLOOKUP(Table1[[#This Row],[Tegevusala kood]],Table4[[Tegevusala kood]:[Tegevusala alanimetus]],4,FALSE)</f>
        <v>Alusharidus</v>
      </c>
      <c r="S1474" s="53"/>
      <c r="T1474" s="53"/>
      <c r="U1474" s="53">
        <f>Table1[[#This Row],[Summa]]+Table1[[#This Row],[I Muudatus]]+Table1[[#This Row],[II Muudatus]]</f>
        <v>405.6</v>
      </c>
    </row>
    <row r="1475" spans="1:21" ht="14.25" hidden="1" customHeight="1" x14ac:dyDescent="0.25">
      <c r="A1475" s="42" t="s">
        <v>1502</v>
      </c>
      <c r="B1475" s="42">
        <v>1140</v>
      </c>
      <c r="C1475" s="42">
        <v>5002</v>
      </c>
      <c r="D1475" s="53" t="str">
        <f>LEFT(Table1[[#This Row],[Eelarvekonto]],2)</f>
        <v>50</v>
      </c>
      <c r="E1475" s="53" t="str">
        <f>VLOOKUP(Table1[[#This Row],[Eelarvekonto]],Table5[[Konto]:[Konto nimetus]],2,FALSE)</f>
        <v>Töötajate töötasud</v>
      </c>
      <c r="F1475" s="68" t="s">
        <v>139</v>
      </c>
      <c r="G1475" s="68" t="s">
        <v>24</v>
      </c>
      <c r="H1475" s="68"/>
      <c r="I1475" s="42"/>
      <c r="J1475" s="68" t="s">
        <v>296</v>
      </c>
      <c r="K1475" s="68" t="s">
        <v>294</v>
      </c>
      <c r="L1475" s="103" t="s">
        <v>295</v>
      </c>
      <c r="M1475" s="82" t="str">
        <f>LEFT(Table1[[#This Row],[Tegevusala kood]],2)</f>
        <v>09</v>
      </c>
      <c r="N1475" s="53" t="str">
        <f>VLOOKUP(Table1[[#This Row],[Tegevusala kood]],Table4[[Tegevusala kood]:[Tegevusala alanimetus]],2,FALSE)</f>
        <v>Kulina Lasteaed</v>
      </c>
      <c r="O1475" s="42"/>
      <c r="P1475" s="42"/>
      <c r="Q1475" s="53" t="str">
        <f>VLOOKUP(Table1[[#This Row],[Eelarvekonto]],Table5[[Konto]:[Kontode alanimetus]],5,FALSE)</f>
        <v>Tööjõukulud</v>
      </c>
      <c r="R1475" s="53" t="str">
        <f>VLOOKUP(Table1[[#This Row],[Tegevusala kood]],Table4[[Tegevusala kood]:[Tegevusala alanimetus]],4,FALSE)</f>
        <v>Alusharidus</v>
      </c>
      <c r="S1475" s="53"/>
      <c r="T1475" s="53"/>
      <c r="U1475" s="53">
        <f>Table1[[#This Row],[Summa]]+Table1[[#This Row],[I Muudatus]]+Table1[[#This Row],[II Muudatus]]</f>
        <v>1140</v>
      </c>
    </row>
    <row r="1476" spans="1:21" ht="14.25" hidden="1" customHeight="1" x14ac:dyDescent="0.25">
      <c r="A1476" s="42" t="s">
        <v>1503</v>
      </c>
      <c r="B1476" s="42">
        <v>385.32</v>
      </c>
      <c r="C1476" s="42">
        <v>506</v>
      </c>
      <c r="D1476" s="53" t="str">
        <f>LEFT(Table1[[#This Row],[Eelarvekonto]],2)</f>
        <v>50</v>
      </c>
      <c r="E1476" s="53" t="str">
        <f>VLOOKUP(Table1[[#This Row],[Eelarvekonto]],Table5[[Konto]:[Konto nimetus]],2,FALSE)</f>
        <v>Tööjõukuludega kaasnevad maksud ja sotsiaalkindlustusmaksed</v>
      </c>
      <c r="F1476" s="68" t="s">
        <v>139</v>
      </c>
      <c r="G1476" s="68" t="s">
        <v>24</v>
      </c>
      <c r="H1476" s="68"/>
      <c r="I1476" s="42"/>
      <c r="J1476" s="68" t="s">
        <v>296</v>
      </c>
      <c r="K1476" s="68" t="s">
        <v>294</v>
      </c>
      <c r="L1476" s="103" t="s">
        <v>295</v>
      </c>
      <c r="M1476" s="82" t="str">
        <f>LEFT(Table1[[#This Row],[Tegevusala kood]],2)</f>
        <v>09</v>
      </c>
      <c r="N1476" s="53" t="str">
        <f>VLOOKUP(Table1[[#This Row],[Tegevusala kood]],Table4[[Tegevusala kood]:[Tegevusala alanimetus]],2,FALSE)</f>
        <v>Kulina Lasteaed</v>
      </c>
      <c r="O1476" s="42"/>
      <c r="P1476" s="42"/>
      <c r="Q1476" s="53" t="str">
        <f>VLOOKUP(Table1[[#This Row],[Eelarvekonto]],Table5[[Konto]:[Kontode alanimetus]],5,FALSE)</f>
        <v>Tööjõukulud</v>
      </c>
      <c r="R1476" s="53" t="str">
        <f>VLOOKUP(Table1[[#This Row],[Tegevusala kood]],Table4[[Tegevusala kood]:[Tegevusala alanimetus]],4,FALSE)</f>
        <v>Alusharidus</v>
      </c>
      <c r="S1476" s="53"/>
      <c r="T1476" s="53"/>
      <c r="U1476" s="53">
        <f>Table1[[#This Row],[Summa]]+Table1[[#This Row],[I Muudatus]]+Table1[[#This Row],[II Muudatus]]</f>
        <v>385.32</v>
      </c>
    </row>
    <row r="1477" spans="1:21" ht="14.25" hidden="1" customHeight="1" x14ac:dyDescent="0.25">
      <c r="A1477" s="42" t="s">
        <v>1504</v>
      </c>
      <c r="B1477" s="42">
        <v>480</v>
      </c>
      <c r="C1477" s="42">
        <v>5002</v>
      </c>
      <c r="D1477" s="53" t="str">
        <f>LEFT(Table1[[#This Row],[Eelarvekonto]],2)</f>
        <v>50</v>
      </c>
      <c r="E1477" s="53" t="str">
        <f>VLOOKUP(Table1[[#This Row],[Eelarvekonto]],Table5[[Konto]:[Konto nimetus]],2,FALSE)</f>
        <v>Töötajate töötasud</v>
      </c>
      <c r="F1477" s="68" t="s">
        <v>139</v>
      </c>
      <c r="G1477" s="68" t="s">
        <v>24</v>
      </c>
      <c r="H1477" s="68"/>
      <c r="I1477" s="68"/>
      <c r="J1477" s="68" t="s">
        <v>264</v>
      </c>
      <c r="K1477" s="68" t="s">
        <v>263</v>
      </c>
      <c r="L1477" s="58" t="s">
        <v>266</v>
      </c>
      <c r="M1477" s="82" t="str">
        <f>LEFT(Table1[[#This Row],[Tegevusala kood]],2)</f>
        <v>09</v>
      </c>
      <c r="N1477" s="53" t="str">
        <f>VLOOKUP(Table1[[#This Row],[Tegevusala kood]],Table4[[Tegevusala kood]:[Tegevusala alanimetus]],2,FALSE)</f>
        <v>Roela kool</v>
      </c>
      <c r="O1477" s="42"/>
      <c r="P1477" s="42"/>
      <c r="Q1477" s="53" t="str">
        <f>VLOOKUP(Table1[[#This Row],[Eelarvekonto]],Table5[[Konto]:[Kontode alanimetus]],5,FALSE)</f>
        <v>Tööjõukulud</v>
      </c>
      <c r="R1477" s="53" t="str">
        <f>VLOOKUP(Table1[[#This Row],[Tegevusala kood]],Table4[[Tegevusala kood]:[Tegevusala alanimetus]],4,FALSE)</f>
        <v>Põhihariduse otsekulud</v>
      </c>
      <c r="S1477" s="53"/>
      <c r="T1477" s="53"/>
      <c r="U1477" s="53">
        <f>Table1[[#This Row],[Summa]]+Table1[[#This Row],[I Muudatus]]+Table1[[#This Row],[II Muudatus]]</f>
        <v>480</v>
      </c>
    </row>
    <row r="1478" spans="1:21" ht="14.25" hidden="1" customHeight="1" x14ac:dyDescent="0.25">
      <c r="A1478" s="42" t="s">
        <v>1505</v>
      </c>
      <c r="B1478" s="42">
        <f>12*77</f>
        <v>924</v>
      </c>
      <c r="C1478" s="42">
        <v>5002</v>
      </c>
      <c r="D1478" s="53" t="str">
        <f>LEFT(Table1[[#This Row],[Eelarvekonto]],2)</f>
        <v>50</v>
      </c>
      <c r="E1478" s="53" t="str">
        <f>VLOOKUP(Table1[[#This Row],[Eelarvekonto]],Table5[[Konto]:[Konto nimetus]],2,FALSE)</f>
        <v>Töötajate töötasud</v>
      </c>
      <c r="F1478" s="68" t="s">
        <v>139</v>
      </c>
      <c r="G1478" s="68" t="s">
        <v>24</v>
      </c>
      <c r="H1478" s="68"/>
      <c r="I1478" s="68"/>
      <c r="J1478" s="68" t="s">
        <v>264</v>
      </c>
      <c r="K1478" s="68" t="s">
        <v>263</v>
      </c>
      <c r="L1478" s="58" t="s">
        <v>266</v>
      </c>
      <c r="M1478" s="82" t="str">
        <f>LEFT(Table1[[#This Row],[Tegevusala kood]],2)</f>
        <v>09</v>
      </c>
      <c r="N1478" s="53" t="str">
        <f>VLOOKUP(Table1[[#This Row],[Tegevusala kood]],Table4[[Tegevusala kood]:[Tegevusala alanimetus]],2,FALSE)</f>
        <v>Roela kool</v>
      </c>
      <c r="O1478" s="42"/>
      <c r="P1478" s="42"/>
      <c r="Q1478" s="53" t="str">
        <f>VLOOKUP(Table1[[#This Row],[Eelarvekonto]],Table5[[Konto]:[Kontode alanimetus]],5,FALSE)</f>
        <v>Tööjõukulud</v>
      </c>
      <c r="R1478" s="53" t="str">
        <f>VLOOKUP(Table1[[#This Row],[Tegevusala kood]],Table4[[Tegevusala kood]:[Tegevusala alanimetus]],4,FALSE)</f>
        <v>Põhihariduse otsekulud</v>
      </c>
      <c r="S1478" s="53"/>
      <c r="T1478" s="53"/>
      <c r="U1478" s="53">
        <f>Table1[[#This Row],[Summa]]+Table1[[#This Row],[I Muudatus]]+Table1[[#This Row],[II Muudatus]]</f>
        <v>924</v>
      </c>
    </row>
    <row r="1479" spans="1:21" ht="14.25" hidden="1" customHeight="1" x14ac:dyDescent="0.25">
      <c r="A1479" s="42" t="s">
        <v>1506</v>
      </c>
      <c r="B1479" s="42">
        <f>75*12</f>
        <v>900</v>
      </c>
      <c r="C1479" s="42">
        <v>5002</v>
      </c>
      <c r="D1479" s="53" t="str">
        <f>LEFT(Table1[[#This Row],[Eelarvekonto]],2)</f>
        <v>50</v>
      </c>
      <c r="E1479" s="53" t="str">
        <f>VLOOKUP(Table1[[#This Row],[Eelarvekonto]],Table5[[Konto]:[Konto nimetus]],2,FALSE)</f>
        <v>Töötajate töötasud</v>
      </c>
      <c r="F1479" s="68" t="s">
        <v>139</v>
      </c>
      <c r="G1479" s="68" t="s">
        <v>24</v>
      </c>
      <c r="H1479" s="68"/>
      <c r="I1479" s="68"/>
      <c r="J1479" s="68" t="s">
        <v>264</v>
      </c>
      <c r="K1479" s="68" t="s">
        <v>263</v>
      </c>
      <c r="L1479" s="58" t="s">
        <v>266</v>
      </c>
      <c r="M1479" s="82" t="str">
        <f>LEFT(Table1[[#This Row],[Tegevusala kood]],2)</f>
        <v>09</v>
      </c>
      <c r="N1479" s="53" t="str">
        <f>VLOOKUP(Table1[[#This Row],[Tegevusala kood]],Table4[[Tegevusala kood]:[Tegevusala alanimetus]],2,FALSE)</f>
        <v>Roela kool</v>
      </c>
      <c r="O1479" s="42"/>
      <c r="P1479" s="42"/>
      <c r="Q1479" s="53" t="str">
        <f>VLOOKUP(Table1[[#This Row],[Eelarvekonto]],Table5[[Konto]:[Kontode alanimetus]],5,FALSE)</f>
        <v>Tööjõukulud</v>
      </c>
      <c r="R1479" s="53" t="str">
        <f>VLOOKUP(Table1[[#This Row],[Tegevusala kood]],Table4[[Tegevusala kood]:[Tegevusala alanimetus]],4,FALSE)</f>
        <v>Põhihariduse otsekulud</v>
      </c>
      <c r="S1479" s="53"/>
      <c r="T1479" s="53"/>
      <c r="U1479" s="53">
        <f>Table1[[#This Row],[Summa]]+Table1[[#This Row],[I Muudatus]]+Table1[[#This Row],[II Muudatus]]</f>
        <v>900</v>
      </c>
    </row>
    <row r="1480" spans="1:21" ht="14.25" hidden="1" customHeight="1" x14ac:dyDescent="0.25">
      <c r="A1480" s="42" t="s">
        <v>469</v>
      </c>
      <c r="B1480" s="42">
        <f>654*12</f>
        <v>7848</v>
      </c>
      <c r="C1480" s="42">
        <v>5002</v>
      </c>
      <c r="D1480" s="53" t="str">
        <f>LEFT(Table1[[#This Row],[Eelarvekonto]],2)</f>
        <v>50</v>
      </c>
      <c r="E1480" s="53" t="str">
        <f>VLOOKUP(Table1[[#This Row],[Eelarvekonto]],Table5[[Konto]:[Konto nimetus]],2,FALSE)</f>
        <v>Töötajate töötasud</v>
      </c>
      <c r="F1480" s="68" t="s">
        <v>139</v>
      </c>
      <c r="G1480" s="68" t="s">
        <v>24</v>
      </c>
      <c r="H1480" s="68"/>
      <c r="I1480" s="68"/>
      <c r="J1480" s="68" t="s">
        <v>264</v>
      </c>
      <c r="K1480" s="68" t="s">
        <v>263</v>
      </c>
      <c r="L1480" s="58" t="s">
        <v>266</v>
      </c>
      <c r="M1480" s="58" t="str">
        <f>LEFT(Table1[[#This Row],[Tegevusala kood]],2)</f>
        <v>09</v>
      </c>
      <c r="N1480" s="53" t="str">
        <f>VLOOKUP(Table1[[#This Row],[Tegevusala kood]],Table4[[Tegevusala kood]:[Tegevusala alanimetus]],2,FALSE)</f>
        <v>Roela kool</v>
      </c>
      <c r="O1480" s="42"/>
      <c r="P1480" s="42"/>
      <c r="Q1480" s="53" t="str">
        <f>VLOOKUP(Table1[[#This Row],[Eelarvekonto]],Table5[[Konto]:[Kontode alanimetus]],5,FALSE)</f>
        <v>Tööjõukulud</v>
      </c>
      <c r="R1480" s="53" t="str">
        <f>VLOOKUP(Table1[[#This Row],[Tegevusala kood]],Table4[[Tegevusala kood]:[Tegevusala alanimetus]],4,FALSE)</f>
        <v>Põhihariduse otsekulud</v>
      </c>
      <c r="S1480" s="53"/>
      <c r="T1480" s="53"/>
      <c r="U1480" s="53">
        <f>Table1[[#This Row],[Summa]]+Table1[[#This Row],[I Muudatus]]+Table1[[#This Row],[II Muudatus]]</f>
        <v>7848</v>
      </c>
    </row>
    <row r="1481" spans="1:21" ht="14.25" hidden="1" customHeight="1" x14ac:dyDescent="0.25">
      <c r="A1481" s="42" t="s">
        <v>1510</v>
      </c>
      <c r="B1481" s="42">
        <f>99*12</f>
        <v>1188</v>
      </c>
      <c r="C1481" s="42">
        <v>5002</v>
      </c>
      <c r="D1481" s="53" t="str">
        <f>LEFT(Table1[[#This Row],[Eelarvekonto]],2)</f>
        <v>50</v>
      </c>
      <c r="E1481" s="53" t="str">
        <f>VLOOKUP(Table1[[#This Row],[Eelarvekonto]],Table5[[Konto]:[Konto nimetus]],2,FALSE)</f>
        <v>Töötajate töötasud</v>
      </c>
      <c r="F1481" s="68" t="s">
        <v>139</v>
      </c>
      <c r="G1481" s="68" t="s">
        <v>24</v>
      </c>
      <c r="H1481" s="68"/>
      <c r="I1481" s="68"/>
      <c r="J1481" s="68" t="s">
        <v>264</v>
      </c>
      <c r="K1481" s="68" t="s">
        <v>263</v>
      </c>
      <c r="L1481" s="58" t="s">
        <v>266</v>
      </c>
      <c r="M1481" s="82" t="str">
        <f>LEFT(Table1[[#This Row],[Tegevusala kood]],2)</f>
        <v>09</v>
      </c>
      <c r="N1481" s="53" t="str">
        <f>VLOOKUP(Table1[[#This Row],[Tegevusala kood]],Table4[[Tegevusala kood]:[Tegevusala alanimetus]],2,FALSE)</f>
        <v>Roela kool</v>
      </c>
      <c r="O1481" s="42"/>
      <c r="P1481" s="42"/>
      <c r="Q1481" s="53" t="str">
        <f>VLOOKUP(Table1[[#This Row],[Eelarvekonto]],Table5[[Konto]:[Kontode alanimetus]],5,FALSE)</f>
        <v>Tööjõukulud</v>
      </c>
      <c r="R1481" s="53" t="str">
        <f>VLOOKUP(Table1[[#This Row],[Tegevusala kood]],Table4[[Tegevusala kood]:[Tegevusala alanimetus]],4,FALSE)</f>
        <v>Põhihariduse otsekulud</v>
      </c>
      <c r="S1481" s="53"/>
      <c r="T1481" s="53"/>
      <c r="U1481" s="53">
        <f>Table1[[#This Row],[Summa]]+Table1[[#This Row],[I Muudatus]]+Table1[[#This Row],[II Muudatus]]</f>
        <v>1188</v>
      </c>
    </row>
    <row r="1482" spans="1:21" ht="14.25" hidden="1" customHeight="1" x14ac:dyDescent="0.25">
      <c r="A1482" s="42" t="s">
        <v>1511</v>
      </c>
      <c r="B1482" s="42">
        <f>480*0.338</f>
        <v>162.24</v>
      </c>
      <c r="C1482" s="42">
        <v>506</v>
      </c>
      <c r="D1482" s="53" t="str">
        <f>LEFT(Table1[[#This Row],[Eelarvekonto]],2)</f>
        <v>50</v>
      </c>
      <c r="E1482" s="53" t="str">
        <f>VLOOKUP(Table1[[#This Row],[Eelarvekonto]],Table5[[Konto]:[Konto nimetus]],2,FALSE)</f>
        <v>Tööjõukuludega kaasnevad maksud ja sotsiaalkindlustusmaksed</v>
      </c>
      <c r="F1482" s="68" t="s">
        <v>139</v>
      </c>
      <c r="G1482" s="68" t="s">
        <v>24</v>
      </c>
      <c r="H1482" s="68"/>
      <c r="I1482" s="68"/>
      <c r="J1482" s="68" t="s">
        <v>264</v>
      </c>
      <c r="K1482" s="68" t="s">
        <v>263</v>
      </c>
      <c r="L1482" s="58" t="s">
        <v>266</v>
      </c>
      <c r="M1482" s="82" t="str">
        <f>LEFT(Table1[[#This Row],[Tegevusala kood]],2)</f>
        <v>09</v>
      </c>
      <c r="N1482" s="53" t="str">
        <f>VLOOKUP(Table1[[#This Row],[Tegevusala kood]],Table4[[Tegevusala kood]:[Tegevusala alanimetus]],2,FALSE)</f>
        <v>Roela kool</v>
      </c>
      <c r="O1482" s="42"/>
      <c r="P1482" s="42"/>
      <c r="Q1482" s="53" t="str">
        <f>VLOOKUP(Table1[[#This Row],[Eelarvekonto]],Table5[[Konto]:[Kontode alanimetus]],5,FALSE)</f>
        <v>Tööjõukulud</v>
      </c>
      <c r="R1482" s="53" t="str">
        <f>VLOOKUP(Table1[[#This Row],[Tegevusala kood]],Table4[[Tegevusala kood]:[Tegevusala alanimetus]],4,FALSE)</f>
        <v>Põhihariduse otsekulud</v>
      </c>
      <c r="S1482" s="53"/>
      <c r="T1482" s="53"/>
      <c r="U1482" s="53">
        <f>Table1[[#This Row],[Summa]]+Table1[[#This Row],[I Muudatus]]+Table1[[#This Row],[II Muudatus]]</f>
        <v>162.24</v>
      </c>
    </row>
    <row r="1483" spans="1:21" ht="14.25" hidden="1" customHeight="1" x14ac:dyDescent="0.25">
      <c r="A1483" s="42" t="s">
        <v>1512</v>
      </c>
      <c r="B1483" s="42">
        <f>924*0.338</f>
        <v>312.31200000000001</v>
      </c>
      <c r="C1483" s="42">
        <v>506</v>
      </c>
      <c r="D1483" s="53" t="str">
        <f>LEFT(Table1[[#This Row],[Eelarvekonto]],2)</f>
        <v>50</v>
      </c>
      <c r="E1483" s="53" t="str">
        <f>VLOOKUP(Table1[[#This Row],[Eelarvekonto]],Table5[[Konto]:[Konto nimetus]],2,FALSE)</f>
        <v>Tööjõukuludega kaasnevad maksud ja sotsiaalkindlustusmaksed</v>
      </c>
      <c r="F1483" s="68" t="s">
        <v>139</v>
      </c>
      <c r="G1483" s="68" t="s">
        <v>24</v>
      </c>
      <c r="H1483" s="68"/>
      <c r="I1483" s="68"/>
      <c r="J1483" s="68" t="s">
        <v>264</v>
      </c>
      <c r="K1483" s="68" t="s">
        <v>263</v>
      </c>
      <c r="L1483" s="58" t="s">
        <v>266</v>
      </c>
      <c r="M1483" s="82" t="str">
        <f>LEFT(Table1[[#This Row],[Tegevusala kood]],2)</f>
        <v>09</v>
      </c>
      <c r="N1483" s="53" t="str">
        <f>VLOOKUP(Table1[[#This Row],[Tegevusala kood]],Table4[[Tegevusala kood]:[Tegevusala alanimetus]],2,FALSE)</f>
        <v>Roela kool</v>
      </c>
      <c r="O1483" s="42"/>
      <c r="P1483" s="42"/>
      <c r="Q1483" s="53" t="str">
        <f>VLOOKUP(Table1[[#This Row],[Eelarvekonto]],Table5[[Konto]:[Kontode alanimetus]],5,FALSE)</f>
        <v>Tööjõukulud</v>
      </c>
      <c r="R1483" s="53" t="str">
        <f>VLOOKUP(Table1[[#This Row],[Tegevusala kood]],Table4[[Tegevusala kood]:[Tegevusala alanimetus]],4,FALSE)</f>
        <v>Põhihariduse otsekulud</v>
      </c>
      <c r="S1483" s="53"/>
      <c r="T1483" s="53"/>
      <c r="U1483" s="53">
        <f>Table1[[#This Row],[Summa]]+Table1[[#This Row],[I Muudatus]]+Table1[[#This Row],[II Muudatus]]</f>
        <v>312.31200000000001</v>
      </c>
    </row>
    <row r="1484" spans="1:21" ht="14.25" hidden="1" customHeight="1" x14ac:dyDescent="0.25">
      <c r="A1484" s="42" t="s">
        <v>1513</v>
      </c>
      <c r="B1484" s="42">
        <f>900*0.338</f>
        <v>304.20000000000005</v>
      </c>
      <c r="C1484" s="42">
        <v>506</v>
      </c>
      <c r="D1484" s="53" t="str">
        <f>LEFT(Table1[[#This Row],[Eelarvekonto]],2)</f>
        <v>50</v>
      </c>
      <c r="E1484" s="53" t="str">
        <f>VLOOKUP(Table1[[#This Row],[Eelarvekonto]],Table5[[Konto]:[Konto nimetus]],2,FALSE)</f>
        <v>Tööjõukuludega kaasnevad maksud ja sotsiaalkindlustusmaksed</v>
      </c>
      <c r="F1484" s="68" t="s">
        <v>139</v>
      </c>
      <c r="G1484" s="68" t="s">
        <v>24</v>
      </c>
      <c r="H1484" s="68"/>
      <c r="I1484" s="68"/>
      <c r="J1484" s="68" t="s">
        <v>264</v>
      </c>
      <c r="K1484" s="68" t="s">
        <v>263</v>
      </c>
      <c r="L1484" s="58" t="s">
        <v>266</v>
      </c>
      <c r="M1484" s="82" t="str">
        <f>LEFT(Table1[[#This Row],[Tegevusala kood]],2)</f>
        <v>09</v>
      </c>
      <c r="N1484" s="53" t="str">
        <f>VLOOKUP(Table1[[#This Row],[Tegevusala kood]],Table4[[Tegevusala kood]:[Tegevusala alanimetus]],2,FALSE)</f>
        <v>Roela kool</v>
      </c>
      <c r="O1484" s="42"/>
      <c r="P1484" s="42"/>
      <c r="Q1484" s="53" t="str">
        <f>VLOOKUP(Table1[[#This Row],[Eelarvekonto]],Table5[[Konto]:[Kontode alanimetus]],5,FALSE)</f>
        <v>Tööjõukulud</v>
      </c>
      <c r="R1484" s="53" t="str">
        <f>VLOOKUP(Table1[[#This Row],[Tegevusala kood]],Table4[[Tegevusala kood]:[Tegevusala alanimetus]],4,FALSE)</f>
        <v>Põhihariduse otsekulud</v>
      </c>
      <c r="S1484" s="53"/>
      <c r="T1484" s="53"/>
      <c r="U1484" s="53">
        <f>Table1[[#This Row],[Summa]]+Table1[[#This Row],[I Muudatus]]+Table1[[#This Row],[II Muudatus]]</f>
        <v>304.20000000000005</v>
      </c>
    </row>
    <row r="1485" spans="1:21" ht="14.25" hidden="1" customHeight="1" x14ac:dyDescent="0.25">
      <c r="A1485" s="42" t="s">
        <v>1514</v>
      </c>
      <c r="B1485" s="42">
        <f>1188*0.338</f>
        <v>401.54400000000004</v>
      </c>
      <c r="C1485" s="42">
        <v>506</v>
      </c>
      <c r="D1485" s="53" t="str">
        <f>LEFT(Table1[[#This Row],[Eelarvekonto]],2)</f>
        <v>50</v>
      </c>
      <c r="E1485" s="53" t="str">
        <f>VLOOKUP(Table1[[#This Row],[Eelarvekonto]],Table5[[Konto]:[Konto nimetus]],2,FALSE)</f>
        <v>Tööjõukuludega kaasnevad maksud ja sotsiaalkindlustusmaksed</v>
      </c>
      <c r="F1485" s="68" t="s">
        <v>139</v>
      </c>
      <c r="G1485" s="68" t="s">
        <v>24</v>
      </c>
      <c r="H1485" s="68"/>
      <c r="I1485" s="68"/>
      <c r="J1485" s="68" t="s">
        <v>264</v>
      </c>
      <c r="K1485" s="68" t="s">
        <v>263</v>
      </c>
      <c r="L1485" s="58" t="s">
        <v>266</v>
      </c>
      <c r="M1485" s="82" t="str">
        <f>LEFT(Table1[[#This Row],[Tegevusala kood]],2)</f>
        <v>09</v>
      </c>
      <c r="N1485" s="53" t="str">
        <f>VLOOKUP(Table1[[#This Row],[Tegevusala kood]],Table4[[Tegevusala kood]:[Tegevusala alanimetus]],2,FALSE)</f>
        <v>Roela kool</v>
      </c>
      <c r="O1485" s="42"/>
      <c r="P1485" s="42"/>
      <c r="Q1485" s="53" t="str">
        <f>VLOOKUP(Table1[[#This Row],[Eelarvekonto]],Table5[[Konto]:[Kontode alanimetus]],5,FALSE)</f>
        <v>Tööjõukulud</v>
      </c>
      <c r="R1485" s="53" t="str">
        <f>VLOOKUP(Table1[[#This Row],[Tegevusala kood]],Table4[[Tegevusala kood]:[Tegevusala alanimetus]],4,FALSE)</f>
        <v>Põhihariduse otsekulud</v>
      </c>
      <c r="S1485" s="53"/>
      <c r="T1485" s="53"/>
      <c r="U1485" s="53">
        <f>Table1[[#This Row],[Summa]]+Table1[[#This Row],[I Muudatus]]+Table1[[#This Row],[II Muudatus]]</f>
        <v>401.54400000000004</v>
      </c>
    </row>
    <row r="1486" spans="1:21" ht="14.25" hidden="1" customHeight="1" x14ac:dyDescent="0.25">
      <c r="A1486" s="42" t="s">
        <v>1515</v>
      </c>
      <c r="B1486" s="42">
        <f>70*12</f>
        <v>840</v>
      </c>
      <c r="C1486" s="42">
        <v>5002</v>
      </c>
      <c r="D1486" s="53" t="str">
        <f>LEFT(Table1[[#This Row],[Eelarvekonto]],2)</f>
        <v>50</v>
      </c>
      <c r="E1486" s="53" t="str">
        <f>VLOOKUP(Table1[[#This Row],[Eelarvekonto]],Table5[[Konto]:[Konto nimetus]],2,FALSE)</f>
        <v>Töötajate töötasud</v>
      </c>
      <c r="F1486" s="98" t="s">
        <v>139</v>
      </c>
      <c r="G1486" s="42" t="s">
        <v>24</v>
      </c>
      <c r="H1486" s="42"/>
      <c r="I1486" s="42"/>
      <c r="J1486" s="98" t="s">
        <v>252</v>
      </c>
      <c r="K1486" s="42" t="s">
        <v>251</v>
      </c>
      <c r="L1486" s="103" t="s">
        <v>250</v>
      </c>
      <c r="M1486" s="82" t="str">
        <f>LEFT(Table1[[#This Row],[Tegevusala kood]],2)</f>
        <v>09</v>
      </c>
      <c r="N1486" s="53" t="str">
        <f>VLOOKUP(Table1[[#This Row],[Tegevusala kood]],Table4[[Tegevusala kood]:[Tegevusala alanimetus]],2,FALSE)</f>
        <v>Vinni-Pajusti Gümnaasium</v>
      </c>
      <c r="O1486" s="42"/>
      <c r="P1486" s="42"/>
      <c r="Q1486" s="53" t="str">
        <f>VLOOKUP(Table1[[#This Row],[Eelarvekonto]],Table5[[Konto]:[Kontode alanimetus]],5,FALSE)</f>
        <v>Tööjõukulud</v>
      </c>
      <c r="R1486" s="53" t="str">
        <f>VLOOKUP(Table1[[#This Row],[Tegevusala kood]],Table4[[Tegevusala kood]:[Tegevusala alanimetus]],4,FALSE)</f>
        <v>Põhihariduse otsekulud</v>
      </c>
      <c r="S1486" s="53"/>
      <c r="T1486" s="53"/>
      <c r="U1486" s="53">
        <f>Table1[[#This Row],[Summa]]+Table1[[#This Row],[I Muudatus]]+Table1[[#This Row],[II Muudatus]]</f>
        <v>840</v>
      </c>
    </row>
    <row r="1487" spans="1:21" ht="14.25" hidden="1" customHeight="1" x14ac:dyDescent="0.25">
      <c r="A1487" s="42" t="s">
        <v>1516</v>
      </c>
      <c r="B1487" s="42">
        <f>840*0.338</f>
        <v>283.92</v>
      </c>
      <c r="C1487" s="42">
        <v>506</v>
      </c>
      <c r="D1487" s="53" t="str">
        <f>LEFT(Table1[[#This Row],[Eelarvekonto]],2)</f>
        <v>50</v>
      </c>
      <c r="E1487" s="53" t="str">
        <f>VLOOKUP(Table1[[#This Row],[Eelarvekonto]],Table5[[Konto]:[Konto nimetus]],2,FALSE)</f>
        <v>Tööjõukuludega kaasnevad maksud ja sotsiaalkindlustusmaksed</v>
      </c>
      <c r="F1487" s="98" t="s">
        <v>139</v>
      </c>
      <c r="G1487" s="42" t="s">
        <v>24</v>
      </c>
      <c r="H1487" s="42"/>
      <c r="I1487" s="42"/>
      <c r="J1487" s="98" t="s">
        <v>252</v>
      </c>
      <c r="K1487" s="42" t="s">
        <v>251</v>
      </c>
      <c r="L1487" s="103" t="s">
        <v>250</v>
      </c>
      <c r="M1487" s="82" t="str">
        <f>LEFT(Table1[[#This Row],[Tegevusala kood]],2)</f>
        <v>09</v>
      </c>
      <c r="N1487" s="53" t="str">
        <f>VLOOKUP(Table1[[#This Row],[Tegevusala kood]],Table4[[Tegevusala kood]:[Tegevusala alanimetus]],2,FALSE)</f>
        <v>Vinni-Pajusti Gümnaasium</v>
      </c>
      <c r="O1487" s="42"/>
      <c r="P1487" s="42"/>
      <c r="Q1487" s="53" t="str">
        <f>VLOOKUP(Table1[[#This Row],[Eelarvekonto]],Table5[[Konto]:[Kontode alanimetus]],5,FALSE)</f>
        <v>Tööjõukulud</v>
      </c>
      <c r="R1487" s="53" t="str">
        <f>VLOOKUP(Table1[[#This Row],[Tegevusala kood]],Table4[[Tegevusala kood]:[Tegevusala alanimetus]],4,FALSE)</f>
        <v>Põhihariduse otsekulud</v>
      </c>
      <c r="S1487" s="53"/>
      <c r="T1487" s="53"/>
      <c r="U1487" s="53">
        <f>Table1[[#This Row],[Summa]]+Table1[[#This Row],[I Muudatus]]+Table1[[#This Row],[II Muudatus]]</f>
        <v>283.92</v>
      </c>
    </row>
    <row r="1488" spans="1:21" ht="14.25" hidden="1" customHeight="1" x14ac:dyDescent="0.25">
      <c r="A1488" s="42" t="s">
        <v>1517</v>
      </c>
      <c r="B1488" s="42">
        <f>100*12</f>
        <v>1200</v>
      </c>
      <c r="C1488" s="42">
        <v>5002</v>
      </c>
      <c r="D1488" s="53" t="str">
        <f>LEFT(Table1[[#This Row],[Eelarvekonto]],2)</f>
        <v>50</v>
      </c>
      <c r="E1488" s="53" t="str">
        <f>VLOOKUP(Table1[[#This Row],[Eelarvekonto]],Table5[[Konto]:[Konto nimetus]],2,FALSE)</f>
        <v>Töötajate töötasud</v>
      </c>
      <c r="F1488" s="98" t="s">
        <v>139</v>
      </c>
      <c r="G1488" s="42" t="s">
        <v>24</v>
      </c>
      <c r="H1488" s="42"/>
      <c r="I1488" s="42"/>
      <c r="J1488" s="98" t="s">
        <v>252</v>
      </c>
      <c r="K1488" s="42" t="s">
        <v>251</v>
      </c>
      <c r="L1488" s="103" t="s">
        <v>250</v>
      </c>
      <c r="M1488" s="82" t="str">
        <f>LEFT(Table1[[#This Row],[Tegevusala kood]],2)</f>
        <v>09</v>
      </c>
      <c r="N1488" s="53" t="str">
        <f>VLOOKUP(Table1[[#This Row],[Tegevusala kood]],Table4[[Tegevusala kood]:[Tegevusala alanimetus]],2,FALSE)</f>
        <v>Vinni-Pajusti Gümnaasium</v>
      </c>
      <c r="O1488" s="42"/>
      <c r="P1488" s="42"/>
      <c r="Q1488" s="53" t="str">
        <f>VLOOKUP(Table1[[#This Row],[Eelarvekonto]],Table5[[Konto]:[Kontode alanimetus]],5,FALSE)</f>
        <v>Tööjõukulud</v>
      </c>
      <c r="R1488" s="53" t="str">
        <f>VLOOKUP(Table1[[#This Row],[Tegevusala kood]],Table4[[Tegevusala kood]:[Tegevusala alanimetus]],4,FALSE)</f>
        <v>Põhihariduse otsekulud</v>
      </c>
      <c r="S1488" s="53"/>
      <c r="T1488" s="53"/>
      <c r="U1488" s="53">
        <f>Table1[[#This Row],[Summa]]+Table1[[#This Row],[I Muudatus]]+Table1[[#This Row],[II Muudatus]]</f>
        <v>1200</v>
      </c>
    </row>
    <row r="1489" spans="1:21" ht="14.25" hidden="1" customHeight="1" x14ac:dyDescent="0.25">
      <c r="A1489" s="42" t="s">
        <v>1518</v>
      </c>
      <c r="B1489" s="42">
        <f>1200*0.338</f>
        <v>405.6</v>
      </c>
      <c r="C1489" s="42">
        <v>506</v>
      </c>
      <c r="D1489" s="53" t="str">
        <f>LEFT(Table1[[#This Row],[Eelarvekonto]],2)</f>
        <v>50</v>
      </c>
      <c r="E1489" s="53" t="str">
        <f>VLOOKUP(Table1[[#This Row],[Eelarvekonto]],Table5[[Konto]:[Konto nimetus]],2,FALSE)</f>
        <v>Tööjõukuludega kaasnevad maksud ja sotsiaalkindlustusmaksed</v>
      </c>
      <c r="F1489" s="98" t="s">
        <v>139</v>
      </c>
      <c r="G1489" s="42" t="s">
        <v>24</v>
      </c>
      <c r="H1489" s="42"/>
      <c r="I1489" s="42"/>
      <c r="J1489" s="98" t="s">
        <v>252</v>
      </c>
      <c r="K1489" s="42" t="s">
        <v>251</v>
      </c>
      <c r="L1489" s="103" t="s">
        <v>250</v>
      </c>
      <c r="M1489" s="82" t="str">
        <f>LEFT(Table1[[#This Row],[Tegevusala kood]],2)</f>
        <v>09</v>
      </c>
      <c r="N1489" s="53" t="str">
        <f>VLOOKUP(Table1[[#This Row],[Tegevusala kood]],Table4[[Tegevusala kood]:[Tegevusala alanimetus]],2,FALSE)</f>
        <v>Vinni-Pajusti Gümnaasium</v>
      </c>
      <c r="O1489" s="42"/>
      <c r="P1489" s="42"/>
      <c r="Q1489" s="53" t="str">
        <f>VLOOKUP(Table1[[#This Row],[Eelarvekonto]],Table5[[Konto]:[Kontode alanimetus]],5,FALSE)</f>
        <v>Tööjõukulud</v>
      </c>
      <c r="R1489" s="53" t="str">
        <f>VLOOKUP(Table1[[#This Row],[Tegevusala kood]],Table4[[Tegevusala kood]:[Tegevusala alanimetus]],4,FALSE)</f>
        <v>Põhihariduse otsekulud</v>
      </c>
      <c r="S1489" s="53"/>
      <c r="T1489" s="53"/>
      <c r="U1489" s="53">
        <f>Table1[[#This Row],[Summa]]+Table1[[#This Row],[I Muudatus]]+Table1[[#This Row],[II Muudatus]]</f>
        <v>405.6</v>
      </c>
    </row>
    <row r="1490" spans="1:21" ht="14.25" hidden="1" customHeight="1" x14ac:dyDescent="0.25">
      <c r="A1490" s="42" t="s">
        <v>1520</v>
      </c>
      <c r="B1490" s="42">
        <f>100*12</f>
        <v>1200</v>
      </c>
      <c r="C1490" s="42">
        <v>5002</v>
      </c>
      <c r="D1490" s="53" t="str">
        <f>LEFT(Table1[[#This Row],[Eelarvekonto]],2)</f>
        <v>50</v>
      </c>
      <c r="E1490" s="53" t="str">
        <f>VLOOKUP(Table1[[#This Row],[Eelarvekonto]],Table5[[Konto]:[Konto nimetus]],2,FALSE)</f>
        <v>Töötajate töötasud</v>
      </c>
      <c r="F1490" s="98" t="s">
        <v>139</v>
      </c>
      <c r="G1490" s="42" t="s">
        <v>24</v>
      </c>
      <c r="H1490" s="42"/>
      <c r="I1490" s="42"/>
      <c r="J1490" s="98" t="s">
        <v>252</v>
      </c>
      <c r="K1490" s="42" t="s">
        <v>251</v>
      </c>
      <c r="L1490" s="103" t="s">
        <v>250</v>
      </c>
      <c r="M1490" s="82" t="str">
        <f>LEFT(Table1[[#This Row],[Tegevusala kood]],2)</f>
        <v>09</v>
      </c>
      <c r="N1490" s="53" t="str">
        <f>VLOOKUP(Table1[[#This Row],[Tegevusala kood]],Table4[[Tegevusala kood]:[Tegevusala alanimetus]],2,FALSE)</f>
        <v>Vinni-Pajusti Gümnaasium</v>
      </c>
      <c r="O1490" s="42"/>
      <c r="P1490" s="42"/>
      <c r="Q1490" s="53" t="str">
        <f>VLOOKUP(Table1[[#This Row],[Eelarvekonto]],Table5[[Konto]:[Kontode alanimetus]],5,FALSE)</f>
        <v>Tööjõukulud</v>
      </c>
      <c r="R1490" s="53" t="str">
        <f>VLOOKUP(Table1[[#This Row],[Tegevusala kood]],Table4[[Tegevusala kood]:[Tegevusala alanimetus]],4,FALSE)</f>
        <v>Põhihariduse otsekulud</v>
      </c>
      <c r="S1490" s="53"/>
      <c r="T1490" s="53"/>
      <c r="U1490" s="53">
        <f>Table1[[#This Row],[Summa]]+Table1[[#This Row],[I Muudatus]]+Table1[[#This Row],[II Muudatus]]</f>
        <v>1200</v>
      </c>
    </row>
    <row r="1491" spans="1:21" ht="14.25" hidden="1" customHeight="1" x14ac:dyDescent="0.25">
      <c r="A1491" s="42" t="s">
        <v>1521</v>
      </c>
      <c r="B1491" s="42">
        <f>1200*0.338</f>
        <v>405.6</v>
      </c>
      <c r="C1491" s="42">
        <v>506</v>
      </c>
      <c r="D1491" s="53" t="str">
        <f>LEFT(Table1[[#This Row],[Eelarvekonto]],2)</f>
        <v>50</v>
      </c>
      <c r="E1491" s="53" t="str">
        <f>VLOOKUP(Table1[[#This Row],[Eelarvekonto]],Table5[[Konto]:[Konto nimetus]],2,FALSE)</f>
        <v>Tööjõukuludega kaasnevad maksud ja sotsiaalkindlustusmaksed</v>
      </c>
      <c r="F1491" s="98" t="s">
        <v>139</v>
      </c>
      <c r="G1491" s="42" t="s">
        <v>24</v>
      </c>
      <c r="H1491" s="42"/>
      <c r="I1491" s="42"/>
      <c r="J1491" s="98" t="s">
        <v>252</v>
      </c>
      <c r="K1491" s="42" t="s">
        <v>251</v>
      </c>
      <c r="L1491" s="103" t="s">
        <v>250</v>
      </c>
      <c r="M1491" s="82" t="str">
        <f>LEFT(Table1[[#This Row],[Tegevusala kood]],2)</f>
        <v>09</v>
      </c>
      <c r="N1491" s="53" t="str">
        <f>VLOOKUP(Table1[[#This Row],[Tegevusala kood]],Table4[[Tegevusala kood]:[Tegevusala alanimetus]],2,FALSE)</f>
        <v>Vinni-Pajusti Gümnaasium</v>
      </c>
      <c r="O1491" s="42"/>
      <c r="P1491" s="42"/>
      <c r="Q1491" s="53" t="str">
        <f>VLOOKUP(Table1[[#This Row],[Eelarvekonto]],Table5[[Konto]:[Kontode alanimetus]],5,FALSE)</f>
        <v>Tööjõukulud</v>
      </c>
      <c r="R1491" s="53" t="str">
        <f>VLOOKUP(Table1[[#This Row],[Tegevusala kood]],Table4[[Tegevusala kood]:[Tegevusala alanimetus]],4,FALSE)</f>
        <v>Põhihariduse otsekulud</v>
      </c>
      <c r="S1491" s="53"/>
      <c r="T1491" s="53"/>
      <c r="U1491" s="53">
        <f>Table1[[#This Row],[Summa]]+Table1[[#This Row],[I Muudatus]]+Table1[[#This Row],[II Muudatus]]</f>
        <v>405.6</v>
      </c>
    </row>
    <row r="1492" spans="1:21" ht="14.25" hidden="1" customHeight="1" x14ac:dyDescent="0.25">
      <c r="A1492" s="42" t="s">
        <v>1522</v>
      </c>
      <c r="B1492" s="42">
        <f>60*12</f>
        <v>720</v>
      </c>
      <c r="C1492" s="42">
        <v>5002</v>
      </c>
      <c r="D1492" s="53" t="str">
        <f>LEFT(Table1[[#This Row],[Eelarvekonto]],2)</f>
        <v>50</v>
      </c>
      <c r="E1492" s="53" t="str">
        <f>VLOOKUP(Table1[[#This Row],[Eelarvekonto]],Table5[[Konto]:[Konto nimetus]],2,FALSE)</f>
        <v>Töötajate töötasud</v>
      </c>
      <c r="F1492" s="98" t="s">
        <v>139</v>
      </c>
      <c r="G1492" s="42" t="s">
        <v>24</v>
      </c>
      <c r="H1492" s="42"/>
      <c r="I1492" s="42"/>
      <c r="J1492" s="98" t="s">
        <v>252</v>
      </c>
      <c r="K1492" s="42" t="s">
        <v>251</v>
      </c>
      <c r="L1492" s="103" t="s">
        <v>250</v>
      </c>
      <c r="M1492" s="82" t="str">
        <f>LEFT(Table1[[#This Row],[Tegevusala kood]],2)</f>
        <v>09</v>
      </c>
      <c r="N1492" s="53" t="str">
        <f>VLOOKUP(Table1[[#This Row],[Tegevusala kood]],Table4[[Tegevusala kood]:[Tegevusala alanimetus]],2,FALSE)</f>
        <v>Vinni-Pajusti Gümnaasium</v>
      </c>
      <c r="O1492" s="42"/>
      <c r="P1492" s="42"/>
      <c r="Q1492" s="53" t="str">
        <f>VLOOKUP(Table1[[#This Row],[Eelarvekonto]],Table5[[Konto]:[Kontode alanimetus]],5,FALSE)</f>
        <v>Tööjõukulud</v>
      </c>
      <c r="R1492" s="53" t="str">
        <f>VLOOKUP(Table1[[#This Row],[Tegevusala kood]],Table4[[Tegevusala kood]:[Tegevusala alanimetus]],4,FALSE)</f>
        <v>Põhihariduse otsekulud</v>
      </c>
      <c r="S1492" s="53"/>
      <c r="T1492" s="53"/>
      <c r="U1492" s="53">
        <f>Table1[[#This Row],[Summa]]+Table1[[#This Row],[I Muudatus]]+Table1[[#This Row],[II Muudatus]]</f>
        <v>720</v>
      </c>
    </row>
    <row r="1493" spans="1:21" ht="14.25" hidden="1" customHeight="1" x14ac:dyDescent="0.25">
      <c r="A1493" s="42" t="s">
        <v>1523</v>
      </c>
      <c r="B1493" s="42">
        <f>720*0.338</f>
        <v>243.36</v>
      </c>
      <c r="C1493" s="42">
        <v>506</v>
      </c>
      <c r="D1493" s="53" t="str">
        <f>LEFT(Table1[[#This Row],[Eelarvekonto]],2)</f>
        <v>50</v>
      </c>
      <c r="E1493" s="53" t="str">
        <f>VLOOKUP(Table1[[#This Row],[Eelarvekonto]],Table5[[Konto]:[Konto nimetus]],2,FALSE)</f>
        <v>Tööjõukuludega kaasnevad maksud ja sotsiaalkindlustusmaksed</v>
      </c>
      <c r="F1493" s="98" t="s">
        <v>139</v>
      </c>
      <c r="G1493" s="42" t="s">
        <v>24</v>
      </c>
      <c r="H1493" s="42"/>
      <c r="I1493" s="42"/>
      <c r="J1493" s="98" t="s">
        <v>252</v>
      </c>
      <c r="K1493" s="42" t="s">
        <v>251</v>
      </c>
      <c r="L1493" s="103" t="s">
        <v>250</v>
      </c>
      <c r="M1493" s="82" t="str">
        <f>LEFT(Table1[[#This Row],[Tegevusala kood]],2)</f>
        <v>09</v>
      </c>
      <c r="N1493" s="53" t="str">
        <f>VLOOKUP(Table1[[#This Row],[Tegevusala kood]],Table4[[Tegevusala kood]:[Tegevusala alanimetus]],2,FALSE)</f>
        <v>Vinni-Pajusti Gümnaasium</v>
      </c>
      <c r="O1493" s="42"/>
      <c r="P1493" s="42"/>
      <c r="Q1493" s="53" t="str">
        <f>VLOOKUP(Table1[[#This Row],[Eelarvekonto]],Table5[[Konto]:[Kontode alanimetus]],5,FALSE)</f>
        <v>Tööjõukulud</v>
      </c>
      <c r="R1493" s="53" t="str">
        <f>VLOOKUP(Table1[[#This Row],[Tegevusala kood]],Table4[[Tegevusala kood]:[Tegevusala alanimetus]],4,FALSE)</f>
        <v>Põhihariduse otsekulud</v>
      </c>
      <c r="S1493" s="53"/>
      <c r="T1493" s="53"/>
      <c r="U1493" s="53">
        <f>Table1[[#This Row],[Summa]]+Table1[[#This Row],[I Muudatus]]+Table1[[#This Row],[II Muudatus]]</f>
        <v>243.36</v>
      </c>
    </row>
    <row r="1494" spans="1:21" ht="14.25" hidden="1" customHeight="1" x14ac:dyDescent="0.25">
      <c r="A1494" s="42" t="s">
        <v>1524</v>
      </c>
      <c r="B1494" s="42">
        <v>720</v>
      </c>
      <c r="C1494" s="42">
        <v>5002</v>
      </c>
      <c r="D1494" s="53" t="str">
        <f>LEFT(Table1[[#This Row],[Eelarvekonto]],2)</f>
        <v>50</v>
      </c>
      <c r="E1494" s="53" t="str">
        <f>VLOOKUP(Table1[[#This Row],[Eelarvekonto]],Table5[[Konto]:[Konto nimetus]],2,FALSE)</f>
        <v>Töötajate töötasud</v>
      </c>
      <c r="F1494" s="98" t="s">
        <v>139</v>
      </c>
      <c r="G1494" s="42" t="s">
        <v>24</v>
      </c>
      <c r="H1494" s="42"/>
      <c r="I1494" s="42"/>
      <c r="J1494" s="98" t="s">
        <v>252</v>
      </c>
      <c r="K1494" s="42" t="s">
        <v>251</v>
      </c>
      <c r="L1494" s="103" t="s">
        <v>250</v>
      </c>
      <c r="M1494" s="82" t="str">
        <f>LEFT(Table1[[#This Row],[Tegevusala kood]],2)</f>
        <v>09</v>
      </c>
      <c r="N1494" s="53" t="str">
        <f>VLOOKUP(Table1[[#This Row],[Tegevusala kood]],Table4[[Tegevusala kood]:[Tegevusala alanimetus]],2,FALSE)</f>
        <v>Vinni-Pajusti Gümnaasium</v>
      </c>
      <c r="O1494" s="42"/>
      <c r="P1494" s="42"/>
      <c r="Q1494" s="53" t="str">
        <f>VLOOKUP(Table1[[#This Row],[Eelarvekonto]],Table5[[Konto]:[Kontode alanimetus]],5,FALSE)</f>
        <v>Tööjõukulud</v>
      </c>
      <c r="R1494" s="53" t="str">
        <f>VLOOKUP(Table1[[#This Row],[Tegevusala kood]],Table4[[Tegevusala kood]:[Tegevusala alanimetus]],4,FALSE)</f>
        <v>Põhihariduse otsekulud</v>
      </c>
      <c r="S1494" s="53"/>
      <c r="T1494" s="53"/>
      <c r="U1494" s="53">
        <f>Table1[[#This Row],[Summa]]+Table1[[#This Row],[I Muudatus]]+Table1[[#This Row],[II Muudatus]]</f>
        <v>720</v>
      </c>
    </row>
    <row r="1495" spans="1:21" ht="14.25" hidden="1" customHeight="1" x14ac:dyDescent="0.25">
      <c r="A1495" s="42" t="s">
        <v>1525</v>
      </c>
      <c r="B1495" s="42">
        <v>243.36</v>
      </c>
      <c r="C1495" s="42">
        <v>506</v>
      </c>
      <c r="D1495" s="53" t="str">
        <f>LEFT(Table1[[#This Row],[Eelarvekonto]],2)</f>
        <v>50</v>
      </c>
      <c r="E1495" s="53" t="str">
        <f>VLOOKUP(Table1[[#This Row],[Eelarvekonto]],Table5[[Konto]:[Konto nimetus]],2,FALSE)</f>
        <v>Tööjõukuludega kaasnevad maksud ja sotsiaalkindlustusmaksed</v>
      </c>
      <c r="F1495" s="98" t="s">
        <v>139</v>
      </c>
      <c r="G1495" s="42" t="s">
        <v>24</v>
      </c>
      <c r="H1495" s="42"/>
      <c r="I1495" s="42"/>
      <c r="J1495" s="98" t="s">
        <v>252</v>
      </c>
      <c r="K1495" s="42" t="s">
        <v>251</v>
      </c>
      <c r="L1495" s="103" t="s">
        <v>250</v>
      </c>
      <c r="M1495" s="82" t="str">
        <f>LEFT(Table1[[#This Row],[Tegevusala kood]],2)</f>
        <v>09</v>
      </c>
      <c r="N1495" s="53" t="str">
        <f>VLOOKUP(Table1[[#This Row],[Tegevusala kood]],Table4[[Tegevusala kood]:[Tegevusala alanimetus]],2,FALSE)</f>
        <v>Vinni-Pajusti Gümnaasium</v>
      </c>
      <c r="O1495" s="42"/>
      <c r="P1495" s="42"/>
      <c r="Q1495" s="53" t="str">
        <f>VLOOKUP(Table1[[#This Row],[Eelarvekonto]],Table5[[Konto]:[Kontode alanimetus]],5,FALSE)</f>
        <v>Tööjõukulud</v>
      </c>
      <c r="R1495" s="53" t="str">
        <f>VLOOKUP(Table1[[#This Row],[Tegevusala kood]],Table4[[Tegevusala kood]:[Tegevusala alanimetus]],4,FALSE)</f>
        <v>Põhihariduse otsekulud</v>
      </c>
      <c r="S1495" s="53"/>
      <c r="T1495" s="53"/>
      <c r="U1495" s="53">
        <f>Table1[[#This Row],[Summa]]+Table1[[#This Row],[I Muudatus]]+Table1[[#This Row],[II Muudatus]]</f>
        <v>243.36</v>
      </c>
    </row>
    <row r="1496" spans="1:21" ht="14.25" hidden="1" customHeight="1" x14ac:dyDescent="0.25">
      <c r="A1496" s="42" t="s">
        <v>1510</v>
      </c>
      <c r="B1496" s="42">
        <f>95*12</f>
        <v>1140</v>
      </c>
      <c r="C1496" s="42">
        <v>5002</v>
      </c>
      <c r="D1496" s="53" t="str">
        <f>LEFT(Table1[[#This Row],[Eelarvekonto]],2)</f>
        <v>50</v>
      </c>
      <c r="E1496" s="53" t="str">
        <f>VLOOKUP(Table1[[#This Row],[Eelarvekonto]],Table5[[Konto]:[Konto nimetus]],2,FALSE)</f>
        <v>Töötajate töötasud</v>
      </c>
      <c r="F1496" s="42" t="s">
        <v>139</v>
      </c>
      <c r="G1496" s="42" t="s">
        <v>24</v>
      </c>
      <c r="H1496" s="42"/>
      <c r="I1496" s="42"/>
      <c r="J1496" s="42" t="s">
        <v>280</v>
      </c>
      <c r="K1496" s="42" t="s">
        <v>109</v>
      </c>
      <c r="L1496" s="81" t="s">
        <v>279</v>
      </c>
      <c r="M1496" s="82" t="str">
        <f>LEFT(Table1[[#This Row],[Tegevusala kood]],2)</f>
        <v>09</v>
      </c>
      <c r="N1496" s="53" t="str">
        <f>VLOOKUP(Table1[[#This Row],[Tegevusala kood]],Table4[[Tegevusala kood]:[Tegevusala alanimetus]],2,FALSE)</f>
        <v>Laekvere Kool</v>
      </c>
      <c r="O1496" s="42"/>
      <c r="P1496" s="42"/>
      <c r="Q1496" s="53" t="str">
        <f>VLOOKUP(Table1[[#This Row],[Eelarvekonto]],Table5[[Konto]:[Kontode alanimetus]],5,FALSE)</f>
        <v>Tööjõukulud</v>
      </c>
      <c r="R1496" s="53" t="str">
        <f>VLOOKUP(Table1[[#This Row],[Tegevusala kood]],Table4[[Tegevusala kood]:[Tegevusala alanimetus]],4,FALSE)</f>
        <v>Põhihariduse otsekulud</v>
      </c>
      <c r="S1496" s="53"/>
      <c r="T1496" s="53"/>
      <c r="U1496" s="53">
        <f>Table1[[#This Row],[Summa]]+Table1[[#This Row],[I Muudatus]]+Table1[[#This Row],[II Muudatus]]</f>
        <v>1140</v>
      </c>
    </row>
    <row r="1497" spans="1:21" ht="14.25" hidden="1" customHeight="1" x14ac:dyDescent="0.25">
      <c r="A1497" s="42" t="s">
        <v>1514</v>
      </c>
      <c r="B1497" s="42">
        <v>385.32</v>
      </c>
      <c r="C1497" s="42">
        <v>506</v>
      </c>
      <c r="D1497" s="53" t="str">
        <f>LEFT(Table1[[#This Row],[Eelarvekonto]],2)</f>
        <v>50</v>
      </c>
      <c r="E1497" s="53" t="str">
        <f>VLOOKUP(Table1[[#This Row],[Eelarvekonto]],Table5[[Konto]:[Konto nimetus]],2,FALSE)</f>
        <v>Tööjõukuludega kaasnevad maksud ja sotsiaalkindlustusmaksed</v>
      </c>
      <c r="F1497" s="42" t="s">
        <v>139</v>
      </c>
      <c r="G1497" s="42" t="s">
        <v>24</v>
      </c>
      <c r="H1497" s="42"/>
      <c r="I1497" s="42"/>
      <c r="J1497" s="42" t="s">
        <v>280</v>
      </c>
      <c r="K1497" s="42" t="s">
        <v>109</v>
      </c>
      <c r="L1497" s="81" t="s">
        <v>279</v>
      </c>
      <c r="M1497" s="82" t="str">
        <f>LEFT(Table1[[#This Row],[Tegevusala kood]],2)</f>
        <v>09</v>
      </c>
      <c r="N1497" s="53" t="str">
        <f>VLOOKUP(Table1[[#This Row],[Tegevusala kood]],Table4[[Tegevusala kood]:[Tegevusala alanimetus]],2,FALSE)</f>
        <v>Laekvere Kool</v>
      </c>
      <c r="O1497" s="42"/>
      <c r="P1497" s="42"/>
      <c r="Q1497" s="53" t="str">
        <f>VLOOKUP(Table1[[#This Row],[Eelarvekonto]],Table5[[Konto]:[Kontode alanimetus]],5,FALSE)</f>
        <v>Tööjõukulud</v>
      </c>
      <c r="R1497" s="53" t="str">
        <f>VLOOKUP(Table1[[#This Row],[Tegevusala kood]],Table4[[Tegevusala kood]:[Tegevusala alanimetus]],4,FALSE)</f>
        <v>Põhihariduse otsekulud</v>
      </c>
      <c r="S1497" s="53"/>
      <c r="T1497" s="53"/>
      <c r="U1497" s="53">
        <f>Table1[[#This Row],[Summa]]+Table1[[#This Row],[I Muudatus]]+Table1[[#This Row],[II Muudatus]]</f>
        <v>385.32</v>
      </c>
    </row>
    <row r="1498" spans="1:21" ht="14.25" hidden="1" customHeight="1" x14ac:dyDescent="0.25">
      <c r="A1498" s="42" t="s">
        <v>1528</v>
      </c>
      <c r="B1498" s="42">
        <f>12*80</f>
        <v>960</v>
      </c>
      <c r="C1498" s="42">
        <v>5002</v>
      </c>
      <c r="D1498" s="53" t="str">
        <f>LEFT(Table1[[#This Row],[Eelarvekonto]],2)</f>
        <v>50</v>
      </c>
      <c r="E1498" s="53" t="str">
        <f>VLOOKUP(Table1[[#This Row],[Eelarvekonto]],Table5[[Konto]:[Konto nimetus]],2,FALSE)</f>
        <v>Töötajate töötasud</v>
      </c>
      <c r="F1498" s="42" t="s">
        <v>139</v>
      </c>
      <c r="G1498" s="42" t="s">
        <v>24</v>
      </c>
      <c r="H1498" s="42"/>
      <c r="I1498" s="42"/>
      <c r="J1498" s="42" t="s">
        <v>365</v>
      </c>
      <c r="K1498" s="42" t="s">
        <v>364</v>
      </c>
      <c r="L1498" s="81" t="s">
        <v>660</v>
      </c>
      <c r="M1498" s="82" t="str">
        <f>LEFT(Table1[[#This Row],[Tegevusala kood]],2)</f>
        <v>10</v>
      </c>
      <c r="N1498" s="53" t="str">
        <f>VLOOKUP(Table1[[#This Row],[Tegevusala kood]],Table4[[Tegevusala kood]:[Tegevusala alanimetus]],2,FALSE)</f>
        <v>Tugiisikud puuetega inimestele</v>
      </c>
      <c r="O1498" s="42"/>
      <c r="P1498" s="42"/>
      <c r="Q1498" s="53" t="str">
        <f>VLOOKUP(Table1[[#This Row],[Eelarvekonto]],Table5[[Konto]:[Kontode alanimetus]],5,FALSE)</f>
        <v>Tööjõukulud</v>
      </c>
      <c r="R1498" s="53" t="str">
        <f>VLOOKUP(Table1[[#This Row],[Tegevusala kood]],Table4[[Tegevusala kood]:[Tegevusala alanimetus]],4,FALSE)</f>
        <v>Muu puuetega inimeste sotsiaalne kaitse</v>
      </c>
      <c r="S1498" s="53"/>
      <c r="T1498" s="53"/>
      <c r="U1498" s="53">
        <f>Table1[[#This Row],[Summa]]+Table1[[#This Row],[I Muudatus]]+Table1[[#This Row],[II Muudatus]]</f>
        <v>960</v>
      </c>
    </row>
    <row r="1499" spans="1:21" ht="14.25" hidden="1" customHeight="1" x14ac:dyDescent="0.25">
      <c r="A1499" s="42" t="s">
        <v>1529</v>
      </c>
      <c r="B1499" s="42">
        <v>324.48</v>
      </c>
      <c r="C1499" s="42">
        <v>506</v>
      </c>
      <c r="D1499" s="53" t="str">
        <f>LEFT(Table1[[#This Row],[Eelarvekonto]],2)</f>
        <v>50</v>
      </c>
      <c r="E1499" s="53" t="str">
        <f>VLOOKUP(Table1[[#This Row],[Eelarvekonto]],Table5[[Konto]:[Konto nimetus]],2,FALSE)</f>
        <v>Tööjõukuludega kaasnevad maksud ja sotsiaalkindlustusmaksed</v>
      </c>
      <c r="F1499" s="42" t="s">
        <v>139</v>
      </c>
      <c r="G1499" s="42" t="s">
        <v>24</v>
      </c>
      <c r="H1499" s="42"/>
      <c r="I1499" s="42"/>
      <c r="J1499" s="42" t="s">
        <v>365</v>
      </c>
      <c r="K1499" s="42" t="s">
        <v>364</v>
      </c>
      <c r="L1499" s="81" t="s">
        <v>660</v>
      </c>
      <c r="M1499" s="82" t="str">
        <f>LEFT(Table1[[#This Row],[Tegevusala kood]],2)</f>
        <v>10</v>
      </c>
      <c r="N1499" s="53" t="str">
        <f>VLOOKUP(Table1[[#This Row],[Tegevusala kood]],Table4[[Tegevusala kood]:[Tegevusala alanimetus]],2,FALSE)</f>
        <v>Tugiisikud puuetega inimestele</v>
      </c>
      <c r="O1499" s="42"/>
      <c r="P1499" s="42"/>
      <c r="Q1499" s="53" t="str">
        <f>VLOOKUP(Table1[[#This Row],[Eelarvekonto]],Table5[[Konto]:[Kontode alanimetus]],5,FALSE)</f>
        <v>Tööjõukulud</v>
      </c>
      <c r="R1499" s="53" t="str">
        <f>VLOOKUP(Table1[[#This Row],[Tegevusala kood]],Table4[[Tegevusala kood]:[Tegevusala alanimetus]],4,FALSE)</f>
        <v>Muu puuetega inimeste sotsiaalne kaitse</v>
      </c>
      <c r="S1499" s="53"/>
      <c r="T1499" s="53"/>
      <c r="U1499" s="53">
        <f>Table1[[#This Row],[Summa]]+Table1[[#This Row],[I Muudatus]]+Table1[[#This Row],[II Muudatus]]</f>
        <v>324.48</v>
      </c>
    </row>
    <row r="1500" spans="1:21" ht="14.25" hidden="1" customHeight="1" x14ac:dyDescent="0.25">
      <c r="A1500" s="42" t="s">
        <v>1530</v>
      </c>
      <c r="B1500" s="42">
        <v>1000</v>
      </c>
      <c r="C1500" s="42">
        <v>5515</v>
      </c>
      <c r="D1500" s="53" t="str">
        <f>LEFT(Table1[[#This Row],[Eelarvekonto]],2)</f>
        <v>55</v>
      </c>
      <c r="E1500" s="53" t="str">
        <f>VLOOKUP(Table1[[#This Row],[Eelarvekonto]],Table5[[Konto]:[Konto nimetus]],2,FALSE)</f>
        <v>Inventari majandamiskulud</v>
      </c>
      <c r="F1500" s="42" t="s">
        <v>139</v>
      </c>
      <c r="G1500" s="42" t="s">
        <v>24</v>
      </c>
      <c r="H1500" s="42"/>
      <c r="I1500" s="42"/>
      <c r="J1500" s="42" t="s">
        <v>280</v>
      </c>
      <c r="K1500" s="42" t="s">
        <v>109</v>
      </c>
      <c r="L1500" s="103" t="s">
        <v>279</v>
      </c>
      <c r="M1500" s="82" t="str">
        <f>LEFT(Table1[[#This Row],[Tegevusala kood]],2)</f>
        <v>09</v>
      </c>
      <c r="N1500" s="53" t="str">
        <f>VLOOKUP(Table1[[#This Row],[Tegevusala kood]],Table4[[Tegevusala kood]:[Tegevusala alanimetus]],2,FALSE)</f>
        <v>Laekvere Kool</v>
      </c>
      <c r="O1500" s="42"/>
      <c r="P1500" s="42"/>
      <c r="Q1500" s="53" t="str">
        <f>VLOOKUP(Table1[[#This Row],[Eelarvekonto]],Table5[[Konto]:[Kontode alanimetus]],5,FALSE)</f>
        <v>Majandamiskulud</v>
      </c>
      <c r="R1500" s="53" t="str">
        <f>VLOOKUP(Table1[[#This Row],[Tegevusala kood]],Table4[[Tegevusala kood]:[Tegevusala alanimetus]],4,FALSE)</f>
        <v>Põhihariduse otsekulud</v>
      </c>
      <c r="S1500" s="53"/>
      <c r="T1500" s="53"/>
      <c r="U1500" s="53">
        <f>Table1[[#This Row],[Summa]]+Table1[[#This Row],[I Muudatus]]+Table1[[#This Row],[II Muudatus]]</f>
        <v>1000</v>
      </c>
    </row>
    <row r="1501" spans="1:21" ht="14.25" hidden="1" customHeight="1" x14ac:dyDescent="0.25">
      <c r="A1501" s="42" t="s">
        <v>1532</v>
      </c>
      <c r="B1501" s="42">
        <f>80*12</f>
        <v>960</v>
      </c>
      <c r="C1501" s="42">
        <v>5002</v>
      </c>
      <c r="D1501" s="53" t="str">
        <f>LEFT(Table1[[#This Row],[Eelarvekonto]],2)</f>
        <v>50</v>
      </c>
      <c r="E1501" s="53" t="str">
        <f>VLOOKUP(Table1[[#This Row],[Eelarvekonto]],Table5[[Konto]:[Konto nimetus]],2,FALSE)</f>
        <v>Töötajate töötasud</v>
      </c>
      <c r="F1501" s="68" t="s">
        <v>139</v>
      </c>
      <c r="G1501" s="68" t="s">
        <v>24</v>
      </c>
      <c r="H1501" s="68"/>
      <c r="I1501" s="68"/>
      <c r="J1501" s="68" t="s">
        <v>264</v>
      </c>
      <c r="K1501" s="68" t="s">
        <v>263</v>
      </c>
      <c r="L1501" s="58" t="s">
        <v>262</v>
      </c>
      <c r="M1501" s="82" t="str">
        <f>LEFT(Table1[[#This Row],[Tegevusala kood]],2)</f>
        <v>09</v>
      </c>
      <c r="N1501" s="53" t="str">
        <f>VLOOKUP(Table1[[#This Row],[Tegevusala kood]],Table4[[Tegevusala kood]:[Tegevusala alanimetus]],2,FALSE)</f>
        <v>Roela Õpilaskodu</v>
      </c>
      <c r="O1501" s="42"/>
      <c r="P1501" s="42"/>
      <c r="Q1501" s="53" t="str">
        <f>VLOOKUP(Table1[[#This Row],[Eelarvekonto]],Table5[[Konto]:[Kontode alanimetus]],5,FALSE)</f>
        <v>Tööjõukulud</v>
      </c>
      <c r="R1501" s="53" t="str">
        <f>VLOOKUP(Table1[[#This Row],[Tegevusala kood]],Table4[[Tegevusala kood]:[Tegevusala alanimetus]],4,FALSE)</f>
        <v>Öömaja</v>
      </c>
      <c r="S1501" s="53"/>
      <c r="T1501" s="53"/>
      <c r="U1501" s="53">
        <f>Table1[[#This Row],[Summa]]+Table1[[#This Row],[I Muudatus]]+Table1[[#This Row],[II Muudatus]]</f>
        <v>960</v>
      </c>
    </row>
    <row r="1502" spans="1:21" ht="14.25" hidden="1" customHeight="1" x14ac:dyDescent="0.25">
      <c r="A1502" s="42" t="s">
        <v>1533</v>
      </c>
      <c r="B1502" s="42">
        <f>960*0.338</f>
        <v>324.48</v>
      </c>
      <c r="C1502" s="42">
        <v>506</v>
      </c>
      <c r="D1502" s="53" t="str">
        <f>LEFT(Table1[[#This Row],[Eelarvekonto]],2)</f>
        <v>50</v>
      </c>
      <c r="E1502" s="53" t="str">
        <f>VLOOKUP(Table1[[#This Row],[Eelarvekonto]],Table5[[Konto]:[Konto nimetus]],2,FALSE)</f>
        <v>Tööjõukuludega kaasnevad maksud ja sotsiaalkindlustusmaksed</v>
      </c>
      <c r="F1502" s="68" t="s">
        <v>139</v>
      </c>
      <c r="G1502" s="68" t="s">
        <v>24</v>
      </c>
      <c r="H1502" s="68"/>
      <c r="I1502" s="68"/>
      <c r="J1502" s="68" t="s">
        <v>264</v>
      </c>
      <c r="K1502" s="68" t="s">
        <v>263</v>
      </c>
      <c r="L1502" s="58" t="s">
        <v>262</v>
      </c>
      <c r="M1502" s="82" t="str">
        <f>LEFT(Table1[[#This Row],[Tegevusala kood]],2)</f>
        <v>09</v>
      </c>
      <c r="N1502" s="53" t="str">
        <f>VLOOKUP(Table1[[#This Row],[Tegevusala kood]],Table4[[Tegevusala kood]:[Tegevusala alanimetus]],2,FALSE)</f>
        <v>Roela Õpilaskodu</v>
      </c>
      <c r="O1502" s="42"/>
      <c r="P1502" s="42"/>
      <c r="Q1502" s="53" t="str">
        <f>VLOOKUP(Table1[[#This Row],[Eelarvekonto]],Table5[[Konto]:[Kontode alanimetus]],5,FALSE)</f>
        <v>Tööjõukulud</v>
      </c>
      <c r="R1502" s="53" t="str">
        <f>VLOOKUP(Table1[[#This Row],[Tegevusala kood]],Table4[[Tegevusala kood]:[Tegevusala alanimetus]],4,FALSE)</f>
        <v>Öömaja</v>
      </c>
      <c r="S1502" s="53"/>
      <c r="T1502" s="53"/>
      <c r="U1502" s="53">
        <f>Table1[[#This Row],[Summa]]+Table1[[#This Row],[I Muudatus]]+Table1[[#This Row],[II Muudatus]]</f>
        <v>324.48</v>
      </c>
    </row>
    <row r="1503" spans="1:21" ht="14.25" hidden="1" customHeight="1" x14ac:dyDescent="0.25">
      <c r="A1503" s="42" t="s">
        <v>1535</v>
      </c>
      <c r="B1503" s="42">
        <v>960</v>
      </c>
      <c r="C1503" s="42">
        <v>5002</v>
      </c>
      <c r="D1503" s="53" t="str">
        <f>LEFT(Table1[[#This Row],[Eelarvekonto]],2)</f>
        <v>50</v>
      </c>
      <c r="E1503" s="53" t="str">
        <f>VLOOKUP(Table1[[#This Row],[Eelarvekonto]],Table5[[Konto]:[Konto nimetus]],2,FALSE)</f>
        <v>Töötajate töötasud</v>
      </c>
      <c r="F1503" s="68" t="s">
        <v>139</v>
      </c>
      <c r="G1503" s="68" t="s">
        <v>24</v>
      </c>
      <c r="H1503" s="68"/>
      <c r="I1503" s="68"/>
      <c r="J1503" s="68" t="s">
        <v>264</v>
      </c>
      <c r="K1503" s="68" t="s">
        <v>263</v>
      </c>
      <c r="L1503" s="58" t="s">
        <v>262</v>
      </c>
      <c r="M1503" s="82" t="str">
        <f>LEFT(Table1[[#This Row],[Tegevusala kood]],2)</f>
        <v>09</v>
      </c>
      <c r="N1503" s="53" t="str">
        <f>VLOOKUP(Table1[[#This Row],[Tegevusala kood]],Table4[[Tegevusala kood]:[Tegevusala alanimetus]],2,FALSE)</f>
        <v>Roela Õpilaskodu</v>
      </c>
      <c r="O1503" s="42"/>
      <c r="P1503" s="42"/>
      <c r="Q1503" s="53" t="str">
        <f>VLOOKUP(Table1[[#This Row],[Eelarvekonto]],Table5[[Konto]:[Kontode alanimetus]],5,FALSE)</f>
        <v>Tööjõukulud</v>
      </c>
      <c r="R1503" s="53" t="str">
        <f>VLOOKUP(Table1[[#This Row],[Tegevusala kood]],Table4[[Tegevusala kood]:[Tegevusala alanimetus]],4,FALSE)</f>
        <v>Öömaja</v>
      </c>
      <c r="S1503" s="53"/>
      <c r="T1503" s="53"/>
      <c r="U1503" s="53">
        <f>Table1[[#This Row],[Summa]]+Table1[[#This Row],[I Muudatus]]+Table1[[#This Row],[II Muudatus]]</f>
        <v>960</v>
      </c>
    </row>
    <row r="1504" spans="1:21" ht="14.25" hidden="1" customHeight="1" x14ac:dyDescent="0.25">
      <c r="A1504" s="42" t="s">
        <v>1536</v>
      </c>
      <c r="B1504" s="42">
        <v>324.48</v>
      </c>
      <c r="C1504" s="42">
        <v>506</v>
      </c>
      <c r="D1504" s="53" t="str">
        <f>LEFT(Table1[[#This Row],[Eelarvekonto]],2)</f>
        <v>50</v>
      </c>
      <c r="E1504" s="53" t="str">
        <f>VLOOKUP(Table1[[#This Row],[Eelarvekonto]],Table5[[Konto]:[Konto nimetus]],2,FALSE)</f>
        <v>Tööjõukuludega kaasnevad maksud ja sotsiaalkindlustusmaksed</v>
      </c>
      <c r="F1504" s="68" t="s">
        <v>139</v>
      </c>
      <c r="G1504" s="68" t="s">
        <v>24</v>
      </c>
      <c r="H1504" s="68"/>
      <c r="I1504" s="68"/>
      <c r="J1504" s="68" t="s">
        <v>264</v>
      </c>
      <c r="K1504" s="68" t="s">
        <v>263</v>
      </c>
      <c r="L1504" s="58" t="s">
        <v>262</v>
      </c>
      <c r="M1504" s="82" t="str">
        <f>LEFT(Table1[[#This Row],[Tegevusala kood]],2)</f>
        <v>09</v>
      </c>
      <c r="N1504" s="53" t="str">
        <f>VLOOKUP(Table1[[#This Row],[Tegevusala kood]],Table4[[Tegevusala kood]:[Tegevusala alanimetus]],2,FALSE)</f>
        <v>Roela Õpilaskodu</v>
      </c>
      <c r="O1504" s="42"/>
      <c r="P1504" s="42"/>
      <c r="Q1504" s="53" t="str">
        <f>VLOOKUP(Table1[[#This Row],[Eelarvekonto]],Table5[[Konto]:[Kontode alanimetus]],5,FALSE)</f>
        <v>Tööjõukulud</v>
      </c>
      <c r="R1504" s="53" t="str">
        <f>VLOOKUP(Table1[[#This Row],[Tegevusala kood]],Table4[[Tegevusala kood]:[Tegevusala alanimetus]],4,FALSE)</f>
        <v>Öömaja</v>
      </c>
      <c r="S1504" s="53"/>
      <c r="T1504" s="53"/>
      <c r="U1504" s="53">
        <f>Table1[[#This Row],[Summa]]+Table1[[#This Row],[I Muudatus]]+Table1[[#This Row],[II Muudatus]]</f>
        <v>324.48</v>
      </c>
    </row>
    <row r="1505" spans="1:21" ht="14.25" hidden="1" customHeight="1" x14ac:dyDescent="0.25">
      <c r="A1505" s="57" t="s">
        <v>1537</v>
      </c>
      <c r="B1505" s="57">
        <v>120</v>
      </c>
      <c r="C1505" s="57">
        <v>5515</v>
      </c>
      <c r="D1505" s="60" t="str">
        <f>LEFT(Table1[[#This Row],[Eelarvekonto]],2)</f>
        <v>55</v>
      </c>
      <c r="E1505" s="60" t="str">
        <f>VLOOKUP(Table1[[#This Row],[Eelarvekonto]],Table5[[Konto]:[Konto nimetus]],2,FALSE)</f>
        <v>Inventari majandamiskulud</v>
      </c>
      <c r="F1505" s="57" t="s">
        <v>139</v>
      </c>
      <c r="G1505" s="57" t="s">
        <v>24</v>
      </c>
      <c r="H1505" s="57"/>
      <c r="I1505" s="57"/>
      <c r="J1505" s="57" t="s">
        <v>231</v>
      </c>
      <c r="K1505" s="57" t="s">
        <v>230</v>
      </c>
      <c r="L1505" s="110" t="s">
        <v>229</v>
      </c>
      <c r="M1505" s="91" t="str">
        <f>LEFT(Table1[[#This Row],[Tegevusala kood]],2)</f>
        <v>08</v>
      </c>
      <c r="N1505" s="60" t="str">
        <f>VLOOKUP(Table1[[#This Row],[Tegevusala kood]],Table4[[Tegevusala kood]:[Tegevusala alanimetus]],2,FALSE)</f>
        <v>Viru-Jaagupi Raamatukogu</v>
      </c>
      <c r="O1505" s="57"/>
      <c r="P1505" s="57"/>
      <c r="Q1505" s="60" t="str">
        <f>VLOOKUP(Table1[[#This Row],[Eelarvekonto]],Table5[[Konto]:[Kontode alanimetus]],5,FALSE)</f>
        <v>Majandamiskulud</v>
      </c>
      <c r="R1505" s="60" t="str">
        <f>VLOOKUP(Table1[[#This Row],[Tegevusala kood]],Table4[[Tegevusala kood]:[Tegevusala alanimetus]],4,FALSE)</f>
        <v>Raamatukogud</v>
      </c>
      <c r="S1505" s="60"/>
      <c r="T1505" s="60"/>
      <c r="U1505" s="60">
        <f>Table1[[#This Row],[Summa]]+Table1[[#This Row],[I Muudatus]]+Table1[[#This Row],[II Muudatus]]</f>
        <v>120</v>
      </c>
    </row>
    <row r="1506" spans="1:21" ht="14.25" hidden="1" customHeight="1" x14ac:dyDescent="0.25">
      <c r="A1506" s="42" t="s">
        <v>1538</v>
      </c>
      <c r="B1506" s="42">
        <v>732</v>
      </c>
      <c r="C1506" s="42">
        <v>5511</v>
      </c>
      <c r="D1506" s="53" t="str">
        <f>LEFT(Table1[[#This Row],[Eelarvekonto]],2)</f>
        <v>55</v>
      </c>
      <c r="E1506" s="53" t="str">
        <f>VLOOKUP(Table1[[#This Row],[Eelarvekonto]],Table5[[Konto]:[Konto nimetus]],2,FALSE)</f>
        <v>Kinnistute, hoonete ja ruumide majandamiskulud</v>
      </c>
      <c r="F1506" s="68" t="s">
        <v>139</v>
      </c>
      <c r="G1506" s="68" t="s">
        <v>24</v>
      </c>
      <c r="H1506" s="68"/>
      <c r="I1506" s="68"/>
      <c r="J1506" s="68" t="s">
        <v>264</v>
      </c>
      <c r="K1506" s="68" t="s">
        <v>263</v>
      </c>
      <c r="L1506" s="58" t="s">
        <v>262</v>
      </c>
      <c r="M1506" s="104" t="str">
        <f>LEFT(Table1[[#This Row],[Tegevusala kood]],2)</f>
        <v>09</v>
      </c>
      <c r="N1506" s="53" t="str">
        <f>VLOOKUP(Table1[[#This Row],[Tegevusala kood]],Table4[[Tegevusala kood]:[Tegevusala alanimetus]],2,FALSE)</f>
        <v>Roela Õpilaskodu</v>
      </c>
      <c r="O1506" s="42"/>
      <c r="P1506" s="42"/>
      <c r="Q1506" s="53" t="str">
        <f>VLOOKUP(Table1[[#This Row],[Eelarvekonto]],Table5[[Konto]:[Kontode alanimetus]],5,FALSE)</f>
        <v>Majandamiskulud</v>
      </c>
      <c r="R1506" s="53" t="str">
        <f>VLOOKUP(Table1[[#This Row],[Tegevusala kood]],Table4[[Tegevusala kood]:[Tegevusala alanimetus]],4,FALSE)</f>
        <v>Öömaja</v>
      </c>
      <c r="S1506" s="53"/>
      <c r="T1506" s="53"/>
      <c r="U1506" s="53">
        <f>Table1[[#This Row],[Summa]]+Table1[[#This Row],[I Muudatus]]+Table1[[#This Row],[II Muudatus]]</f>
        <v>732</v>
      </c>
    </row>
    <row r="1507" spans="1:21" ht="14.25" hidden="1" customHeight="1" x14ac:dyDescent="0.25">
      <c r="A1507" s="42" t="s">
        <v>1539</v>
      </c>
      <c r="B1507" s="42">
        <v>1700</v>
      </c>
      <c r="C1507" s="42">
        <v>5515</v>
      </c>
      <c r="D1507" s="53" t="str">
        <f>LEFT(Table1[[#This Row],[Eelarvekonto]],2)</f>
        <v>55</v>
      </c>
      <c r="E1507" s="53" t="str">
        <f>VLOOKUP(Table1[[#This Row],[Eelarvekonto]],Table5[[Konto]:[Konto nimetus]],2,FALSE)</f>
        <v>Inventari majandamiskulud</v>
      </c>
      <c r="F1507" s="68" t="s">
        <v>139</v>
      </c>
      <c r="G1507" s="68" t="s">
        <v>24</v>
      </c>
      <c r="H1507" s="68"/>
      <c r="I1507" s="68"/>
      <c r="J1507" s="68" t="s">
        <v>264</v>
      </c>
      <c r="K1507" s="68" t="s">
        <v>263</v>
      </c>
      <c r="L1507" s="58" t="s">
        <v>262</v>
      </c>
      <c r="M1507" s="104" t="str">
        <f>LEFT(Table1[[#This Row],[Tegevusala kood]],2)</f>
        <v>09</v>
      </c>
      <c r="N1507" s="53" t="str">
        <f>VLOOKUP(Table1[[#This Row],[Tegevusala kood]],Table4[[Tegevusala kood]:[Tegevusala alanimetus]],2,FALSE)</f>
        <v>Roela Õpilaskodu</v>
      </c>
      <c r="O1507" s="42"/>
      <c r="P1507" s="42"/>
      <c r="Q1507" s="53" t="str">
        <f>VLOOKUP(Table1[[#This Row],[Eelarvekonto]],Table5[[Konto]:[Kontode alanimetus]],5,FALSE)</f>
        <v>Majandamiskulud</v>
      </c>
      <c r="R1507" s="53" t="str">
        <f>VLOOKUP(Table1[[#This Row],[Tegevusala kood]],Table4[[Tegevusala kood]:[Tegevusala alanimetus]],4,FALSE)</f>
        <v>Öömaja</v>
      </c>
      <c r="S1507" s="53"/>
      <c r="T1507" s="53"/>
      <c r="U1507" s="53">
        <f>Table1[[#This Row],[Summa]]+Table1[[#This Row],[I Muudatus]]+Table1[[#This Row],[II Muudatus]]</f>
        <v>1700</v>
      </c>
    </row>
    <row r="1508" spans="1:21" ht="14.25" hidden="1" customHeight="1" x14ac:dyDescent="0.25">
      <c r="A1508" s="42" t="s">
        <v>1540</v>
      </c>
      <c r="B1508" s="42">
        <v>1000</v>
      </c>
      <c r="C1508" s="42">
        <v>5515</v>
      </c>
      <c r="D1508" s="53" t="str">
        <f>LEFT(Table1[[#This Row],[Eelarvekonto]],2)</f>
        <v>55</v>
      </c>
      <c r="E1508" s="53" t="str">
        <f>VLOOKUP(Table1[[#This Row],[Eelarvekonto]],Table5[[Konto]:[Konto nimetus]],2,FALSE)</f>
        <v>Inventari majandamiskulud</v>
      </c>
      <c r="F1508" s="68" t="s">
        <v>139</v>
      </c>
      <c r="G1508" s="68" t="s">
        <v>24</v>
      </c>
      <c r="H1508" s="68"/>
      <c r="I1508" s="68"/>
      <c r="J1508" s="68" t="s">
        <v>264</v>
      </c>
      <c r="K1508" s="68" t="s">
        <v>263</v>
      </c>
      <c r="L1508" s="58" t="s">
        <v>262</v>
      </c>
      <c r="M1508" s="104" t="str">
        <f>LEFT(Table1[[#This Row],[Tegevusala kood]],2)</f>
        <v>09</v>
      </c>
      <c r="N1508" s="53" t="str">
        <f>VLOOKUP(Table1[[#This Row],[Tegevusala kood]],Table4[[Tegevusala kood]:[Tegevusala alanimetus]],2,FALSE)</f>
        <v>Roela Õpilaskodu</v>
      </c>
      <c r="O1508" s="42"/>
      <c r="P1508" s="42"/>
      <c r="Q1508" s="53" t="str">
        <f>VLOOKUP(Table1[[#This Row],[Eelarvekonto]],Table5[[Konto]:[Kontode alanimetus]],5,FALSE)</f>
        <v>Majandamiskulud</v>
      </c>
      <c r="R1508" s="53" t="str">
        <f>VLOOKUP(Table1[[#This Row],[Tegevusala kood]],Table4[[Tegevusala kood]:[Tegevusala alanimetus]],4,FALSE)</f>
        <v>Öömaja</v>
      </c>
      <c r="S1508" s="53"/>
      <c r="T1508" s="53"/>
      <c r="U1508" s="53">
        <f>Table1[[#This Row],[Summa]]+Table1[[#This Row],[I Muudatus]]+Table1[[#This Row],[II Muudatus]]</f>
        <v>1000</v>
      </c>
    </row>
    <row r="1509" spans="1:21" ht="14.25" hidden="1" customHeight="1" x14ac:dyDescent="0.25">
      <c r="A1509" s="57" t="s">
        <v>1541</v>
      </c>
      <c r="B1509" s="57">
        <v>8200</v>
      </c>
      <c r="C1509" s="57">
        <v>5515</v>
      </c>
      <c r="D1509" s="60" t="str">
        <f>LEFT(Table1[[#This Row],[Eelarvekonto]],2)</f>
        <v>55</v>
      </c>
      <c r="E1509" s="60" t="str">
        <f>VLOOKUP(Table1[[#This Row],[Eelarvekonto]],Table5[[Konto]:[Konto nimetus]],2,FALSE)</f>
        <v>Inventari majandamiskulud</v>
      </c>
      <c r="F1509" s="89" t="s">
        <v>139</v>
      </c>
      <c r="G1509" s="57" t="s">
        <v>24</v>
      </c>
      <c r="H1509" s="57"/>
      <c r="I1509" s="57"/>
      <c r="J1509" s="89" t="s">
        <v>252</v>
      </c>
      <c r="K1509" s="57" t="s">
        <v>251</v>
      </c>
      <c r="L1509" s="90" t="s">
        <v>250</v>
      </c>
      <c r="M1509" s="111" t="str">
        <f>LEFT(Table1[[#This Row],[Tegevusala kood]],2)</f>
        <v>09</v>
      </c>
      <c r="N1509" s="60" t="str">
        <f>VLOOKUP(Table1[[#This Row],[Tegevusala kood]],Table4[[Tegevusala kood]:[Tegevusala alanimetus]],2,FALSE)</f>
        <v>Vinni-Pajusti Gümnaasium</v>
      </c>
      <c r="O1509" s="57"/>
      <c r="P1509" s="57"/>
      <c r="Q1509" s="60" t="str">
        <f>VLOOKUP(Table1[[#This Row],[Eelarvekonto]],Table5[[Konto]:[Kontode alanimetus]],5,FALSE)</f>
        <v>Majandamiskulud</v>
      </c>
      <c r="R1509" s="60" t="str">
        <f>VLOOKUP(Table1[[#This Row],[Tegevusala kood]],Table4[[Tegevusala kood]:[Tegevusala alanimetus]],4,FALSE)</f>
        <v>Põhihariduse otsekulud</v>
      </c>
      <c r="S1509" s="60"/>
      <c r="T1509" s="60"/>
      <c r="U1509" s="60">
        <f>Table1[[#This Row],[Summa]]+Table1[[#This Row],[I Muudatus]]+Table1[[#This Row],[II Muudatus]]</f>
        <v>8200</v>
      </c>
    </row>
    <row r="1510" spans="1:21" ht="14.25" hidden="1" customHeight="1" x14ac:dyDescent="0.25">
      <c r="A1510" s="42" t="s">
        <v>1543</v>
      </c>
      <c r="B1510" s="42">
        <v>600</v>
      </c>
      <c r="C1510" s="42">
        <v>5515</v>
      </c>
      <c r="D1510" s="53" t="str">
        <f>LEFT(Table1[[#This Row],[Eelarvekonto]],2)</f>
        <v>55</v>
      </c>
      <c r="E1510" s="53" t="str">
        <f>VLOOKUP(Table1[[#This Row],[Eelarvekonto]],Table5[[Konto]:[Konto nimetus]],2,FALSE)</f>
        <v>Inventari majandamiskulud</v>
      </c>
      <c r="F1510" s="68" t="s">
        <v>139</v>
      </c>
      <c r="G1510" s="68" t="s">
        <v>24</v>
      </c>
      <c r="H1510" s="68"/>
      <c r="I1510" s="68"/>
      <c r="J1510" s="68" t="s">
        <v>139</v>
      </c>
      <c r="K1510" s="68" t="s">
        <v>54</v>
      </c>
      <c r="L1510" s="58" t="s">
        <v>404</v>
      </c>
      <c r="M1510" s="104" t="str">
        <f>LEFT(Table1[[#This Row],[Tegevusala kood]],2)</f>
        <v>01</v>
      </c>
      <c r="N1510" s="53" t="str">
        <f>VLOOKUP(Table1[[#This Row],[Tegevusala kood]],Table4[[Tegevusala kood]:[Tegevusala alanimetus]],2,FALSE)</f>
        <v>Valla- ja linnavalitsus</v>
      </c>
      <c r="O1510" s="42"/>
      <c r="P1510" s="42"/>
      <c r="Q1510" s="53" t="str">
        <f>VLOOKUP(Table1[[#This Row],[Eelarvekonto]],Table5[[Konto]:[Kontode alanimetus]],5,FALSE)</f>
        <v>Majandamiskulud</v>
      </c>
      <c r="R1510" s="53" t="str">
        <f>VLOOKUP(Table1[[#This Row],[Tegevusala kood]],Table4[[Tegevusala kood]:[Tegevusala alanimetus]],4,FALSE)</f>
        <v>Valla- ja linnavalitsus</v>
      </c>
      <c r="S1510" s="53"/>
      <c r="T1510" s="53"/>
      <c r="U1510" s="53">
        <f>Table1[[#This Row],[Summa]]+Table1[[#This Row],[I Muudatus]]+Table1[[#This Row],[II Muudatus]]</f>
        <v>600</v>
      </c>
    </row>
    <row r="1511" spans="1:21" ht="14.25" hidden="1" customHeight="1" x14ac:dyDescent="0.25">
      <c r="A1511" s="42" t="s">
        <v>1544</v>
      </c>
      <c r="B1511" s="42">
        <v>200</v>
      </c>
      <c r="C1511" s="42">
        <v>5515</v>
      </c>
      <c r="D1511" s="53" t="str">
        <f>LEFT(Table1[[#This Row],[Eelarvekonto]],2)</f>
        <v>55</v>
      </c>
      <c r="E1511" s="53" t="str">
        <f>VLOOKUP(Table1[[#This Row],[Eelarvekonto]],Table5[[Konto]:[Konto nimetus]],2,FALSE)</f>
        <v>Inventari majandamiskulud</v>
      </c>
      <c r="F1511" s="68" t="s">
        <v>139</v>
      </c>
      <c r="G1511" s="68" t="s">
        <v>24</v>
      </c>
      <c r="H1511" s="68"/>
      <c r="I1511" s="68"/>
      <c r="J1511" s="68" t="s">
        <v>139</v>
      </c>
      <c r="K1511" s="68" t="s">
        <v>54</v>
      </c>
      <c r="L1511" s="58" t="s">
        <v>404</v>
      </c>
      <c r="M1511" s="104" t="str">
        <f>LEFT(Table1[[#This Row],[Tegevusala kood]],2)</f>
        <v>01</v>
      </c>
      <c r="N1511" s="53" t="str">
        <f>VLOOKUP(Table1[[#This Row],[Tegevusala kood]],Table4[[Tegevusala kood]:[Tegevusala alanimetus]],2,FALSE)</f>
        <v>Valla- ja linnavalitsus</v>
      </c>
      <c r="O1511" s="42"/>
      <c r="P1511" s="42"/>
      <c r="Q1511" s="53" t="str">
        <f>VLOOKUP(Table1[[#This Row],[Eelarvekonto]],Table5[[Konto]:[Kontode alanimetus]],5,FALSE)</f>
        <v>Majandamiskulud</v>
      </c>
      <c r="R1511" s="53" t="str">
        <f>VLOOKUP(Table1[[#This Row],[Tegevusala kood]],Table4[[Tegevusala kood]:[Tegevusala alanimetus]],4,FALSE)</f>
        <v>Valla- ja linnavalitsus</v>
      </c>
      <c r="S1511" s="53"/>
      <c r="T1511" s="53"/>
      <c r="U1511" s="53">
        <f>Table1[[#This Row],[Summa]]+Table1[[#This Row],[I Muudatus]]+Table1[[#This Row],[II Muudatus]]</f>
        <v>200</v>
      </c>
    </row>
    <row r="1512" spans="1:21" ht="14.25" hidden="1" customHeight="1" x14ac:dyDescent="0.25">
      <c r="A1512" s="42" t="s">
        <v>1545</v>
      </c>
      <c r="B1512" s="42">
        <v>3036.03</v>
      </c>
      <c r="C1512" s="42">
        <v>5503</v>
      </c>
      <c r="D1512" s="53" t="str">
        <f>LEFT(Table1[[#This Row],[Eelarvekonto]],2)</f>
        <v>55</v>
      </c>
      <c r="E1512" s="53" t="str">
        <f>VLOOKUP(Table1[[#This Row],[Eelarvekonto]],Table5[[Konto]:[Konto nimetus]],2,FALSE)</f>
        <v>Lähetuskulud (v.a koolituslähetus)</v>
      </c>
      <c r="F1512" s="68" t="s">
        <v>139</v>
      </c>
      <c r="G1512" s="68" t="s">
        <v>24</v>
      </c>
      <c r="H1512" s="68"/>
      <c r="I1512" s="68"/>
      <c r="J1512" s="68" t="s">
        <v>139</v>
      </c>
      <c r="K1512" s="68" t="s">
        <v>54</v>
      </c>
      <c r="L1512" s="58" t="s">
        <v>404</v>
      </c>
      <c r="M1512" s="112" t="str">
        <f>LEFT(Table1[[#This Row],[Tegevusala kood]],2)</f>
        <v>01</v>
      </c>
      <c r="N1512" s="53" t="str">
        <f>VLOOKUP(Table1[[#This Row],[Tegevusala kood]],Table4[[Tegevusala kood]:[Tegevusala alanimetus]],2,FALSE)</f>
        <v>Valla- ja linnavalitsus</v>
      </c>
      <c r="O1512" s="42"/>
      <c r="P1512" s="42"/>
      <c r="Q1512" s="53" t="str">
        <f>VLOOKUP(Table1[[#This Row],[Eelarvekonto]],Table5[[Konto]:[Kontode alanimetus]],5,FALSE)</f>
        <v>Majandamiskulud</v>
      </c>
      <c r="R1512" s="53" t="str">
        <f>VLOOKUP(Table1[[#This Row],[Tegevusala kood]],Table4[[Tegevusala kood]:[Tegevusala alanimetus]],4,FALSE)</f>
        <v>Valla- ja linnavalitsus</v>
      </c>
      <c r="S1512" s="53"/>
      <c r="T1512" s="53"/>
      <c r="U1512" s="53">
        <f>Table1[[#This Row],[Summa]]+Table1[[#This Row],[I Muudatus]]+Table1[[#This Row],[II Muudatus]]</f>
        <v>3036.03</v>
      </c>
    </row>
    <row r="1513" spans="1:21" ht="14.25" hidden="1" customHeight="1" x14ac:dyDescent="0.25">
      <c r="A1513" s="42" t="s">
        <v>1547</v>
      </c>
      <c r="B1513" s="42">
        <f>16*650</f>
        <v>10400</v>
      </c>
      <c r="C1513" s="42">
        <v>500</v>
      </c>
      <c r="D1513" s="53" t="str">
        <f>LEFT(Table1[[#This Row],[Eelarvekonto]],2)</f>
        <v>50</v>
      </c>
      <c r="E1513" s="53" t="str">
        <f>VLOOKUP(Table1[[#This Row],[Eelarvekonto]],Table5[[Konto]:[Konto nimetus]],2,FALSE)</f>
        <v>Töötasud</v>
      </c>
      <c r="F1513" s="68" t="s">
        <v>139</v>
      </c>
      <c r="G1513" s="68" t="s">
        <v>24</v>
      </c>
      <c r="H1513" s="68"/>
      <c r="I1513" s="68"/>
      <c r="J1513" s="68" t="s">
        <v>139</v>
      </c>
      <c r="K1513" s="68" t="s">
        <v>54</v>
      </c>
      <c r="L1513" s="58" t="s">
        <v>404</v>
      </c>
      <c r="M1513" s="112" t="str">
        <f>LEFT(Table1[[#This Row],[Tegevusala kood]],2)</f>
        <v>01</v>
      </c>
      <c r="N1513" s="53" t="str">
        <f>VLOOKUP(Table1[[#This Row],[Tegevusala kood]],Table4[[Tegevusala kood]:[Tegevusala alanimetus]],2,FALSE)</f>
        <v>Valla- ja linnavalitsus</v>
      </c>
      <c r="O1513" s="42"/>
      <c r="P1513" s="42"/>
      <c r="Q1513" s="53" t="str">
        <f>VLOOKUP(Table1[[#This Row],[Eelarvekonto]],Table5[[Konto]:[Kontode alanimetus]],5,FALSE)</f>
        <v>Tööjõukulud</v>
      </c>
      <c r="R1513" s="53" t="str">
        <f>VLOOKUP(Table1[[#This Row],[Tegevusala kood]],Table4[[Tegevusala kood]:[Tegevusala alanimetus]],4,FALSE)</f>
        <v>Valla- ja linnavalitsus</v>
      </c>
      <c r="S1513" s="53"/>
      <c r="T1513" s="53"/>
      <c r="U1513" s="53">
        <f>Table1[[#This Row],[Summa]]+Table1[[#This Row],[I Muudatus]]+Table1[[#This Row],[II Muudatus]]</f>
        <v>10400</v>
      </c>
    </row>
    <row r="1514" spans="1:21" ht="14.25" hidden="1" customHeight="1" x14ac:dyDescent="0.25">
      <c r="A1514" s="42" t="s">
        <v>1548</v>
      </c>
      <c r="B1514" s="42">
        <f>10400*0.338</f>
        <v>3515.2000000000003</v>
      </c>
      <c r="C1514" s="42">
        <v>506</v>
      </c>
      <c r="D1514" s="53" t="str">
        <f>LEFT(Table1[[#This Row],[Eelarvekonto]],2)</f>
        <v>50</v>
      </c>
      <c r="E1514" s="53" t="str">
        <f>VLOOKUP(Table1[[#This Row],[Eelarvekonto]],Table5[[Konto]:[Konto nimetus]],2,FALSE)</f>
        <v>Tööjõukuludega kaasnevad maksud ja sotsiaalkindlustusmaksed</v>
      </c>
      <c r="F1514" s="68" t="s">
        <v>139</v>
      </c>
      <c r="G1514" s="68" t="s">
        <v>24</v>
      </c>
      <c r="H1514" s="68"/>
      <c r="I1514" s="68"/>
      <c r="J1514" s="68" t="s">
        <v>139</v>
      </c>
      <c r="K1514" s="68" t="s">
        <v>54</v>
      </c>
      <c r="L1514" s="58" t="s">
        <v>404</v>
      </c>
      <c r="M1514" s="112" t="str">
        <f>LEFT(Table1[[#This Row],[Tegevusala kood]],2)</f>
        <v>01</v>
      </c>
      <c r="N1514" s="53" t="str">
        <f>VLOOKUP(Table1[[#This Row],[Tegevusala kood]],Table4[[Tegevusala kood]:[Tegevusala alanimetus]],2,FALSE)</f>
        <v>Valla- ja linnavalitsus</v>
      </c>
      <c r="O1514" s="42"/>
      <c r="P1514" s="42"/>
      <c r="Q1514" s="53" t="str">
        <f>VLOOKUP(Table1[[#This Row],[Eelarvekonto]],Table5[[Konto]:[Kontode alanimetus]],5,FALSE)</f>
        <v>Tööjõukulud</v>
      </c>
      <c r="R1514" s="53" t="str">
        <f>VLOOKUP(Table1[[#This Row],[Tegevusala kood]],Table4[[Tegevusala kood]:[Tegevusala alanimetus]],4,FALSE)</f>
        <v>Valla- ja linnavalitsus</v>
      </c>
      <c r="S1514" s="53"/>
      <c r="T1514" s="53"/>
      <c r="U1514" s="53">
        <f>Table1[[#This Row],[Summa]]+Table1[[#This Row],[I Muudatus]]+Table1[[#This Row],[II Muudatus]]</f>
        <v>3515.2000000000003</v>
      </c>
    </row>
    <row r="1515" spans="1:21" ht="14.25" hidden="1" customHeight="1" x14ac:dyDescent="0.25">
      <c r="A1515" s="42" t="s">
        <v>1550</v>
      </c>
      <c r="B1515" s="42">
        <v>2000</v>
      </c>
      <c r="C1515" s="42">
        <v>5500</v>
      </c>
      <c r="D1515" s="53" t="str">
        <f>LEFT(Table1[[#This Row],[Eelarvekonto]],2)</f>
        <v>55</v>
      </c>
      <c r="E1515" s="53" t="str">
        <f>VLOOKUP(Table1[[#This Row],[Eelarvekonto]],Table5[[Konto]:[Konto nimetus]],2,FALSE)</f>
        <v>Administreerimiskulud</v>
      </c>
      <c r="F1515" s="68" t="s">
        <v>139</v>
      </c>
      <c r="G1515" s="68" t="s">
        <v>24</v>
      </c>
      <c r="H1515" s="68"/>
      <c r="I1515" s="68"/>
      <c r="J1515" s="68" t="s">
        <v>139</v>
      </c>
      <c r="K1515" s="68" t="s">
        <v>54</v>
      </c>
      <c r="L1515" s="58" t="s">
        <v>404</v>
      </c>
      <c r="M1515" s="112" t="str">
        <f>LEFT(Table1[[#This Row],[Tegevusala kood]],2)</f>
        <v>01</v>
      </c>
      <c r="N1515" s="53" t="str">
        <f>VLOOKUP(Table1[[#This Row],[Tegevusala kood]],Table4[[Tegevusala kood]:[Tegevusala alanimetus]],2,FALSE)</f>
        <v>Valla- ja linnavalitsus</v>
      </c>
      <c r="O1515" s="42"/>
      <c r="P1515" s="42"/>
      <c r="Q1515" s="53" t="str">
        <f>VLOOKUP(Table1[[#This Row],[Eelarvekonto]],Table5[[Konto]:[Kontode alanimetus]],5,FALSE)</f>
        <v>Majandamiskulud</v>
      </c>
      <c r="R1515" s="53" t="str">
        <f>VLOOKUP(Table1[[#This Row],[Tegevusala kood]],Table4[[Tegevusala kood]:[Tegevusala alanimetus]],4,FALSE)</f>
        <v>Valla- ja linnavalitsus</v>
      </c>
      <c r="S1515" s="53"/>
      <c r="T1515" s="53"/>
      <c r="U1515" s="53">
        <f>Table1[[#This Row],[Summa]]+Table1[[#This Row],[I Muudatus]]+Table1[[#This Row],[II Muudatus]]</f>
        <v>2000</v>
      </c>
    </row>
    <row r="1516" spans="1:21" ht="14.25" hidden="1" customHeight="1" x14ac:dyDescent="0.25">
      <c r="A1516" s="42" t="s">
        <v>1549</v>
      </c>
      <c r="B1516" s="42">
        <v>600</v>
      </c>
      <c r="C1516" s="42">
        <v>5500</v>
      </c>
      <c r="D1516" s="53" t="str">
        <f>LEFT(Table1[[#This Row],[Eelarvekonto]],2)</f>
        <v>55</v>
      </c>
      <c r="E1516" s="53" t="str">
        <f>VLOOKUP(Table1[[#This Row],[Eelarvekonto]],Table5[[Konto]:[Konto nimetus]],2,FALSE)</f>
        <v>Administreerimiskulud</v>
      </c>
      <c r="F1516" s="68" t="s">
        <v>139</v>
      </c>
      <c r="G1516" s="68" t="s">
        <v>24</v>
      </c>
      <c r="H1516" s="68"/>
      <c r="I1516" s="68"/>
      <c r="J1516" s="68" t="s">
        <v>139</v>
      </c>
      <c r="K1516" s="68" t="s">
        <v>54</v>
      </c>
      <c r="L1516" s="58" t="s">
        <v>404</v>
      </c>
      <c r="M1516" s="112" t="str">
        <f>LEFT(Table1[[#This Row],[Tegevusala kood]],2)</f>
        <v>01</v>
      </c>
      <c r="N1516" s="53" t="str">
        <f>VLOOKUP(Table1[[#This Row],[Tegevusala kood]],Table4[[Tegevusala kood]:[Tegevusala alanimetus]],2,FALSE)</f>
        <v>Valla- ja linnavalitsus</v>
      </c>
      <c r="O1516" s="42"/>
      <c r="P1516" s="42"/>
      <c r="Q1516" s="53" t="str">
        <f>VLOOKUP(Table1[[#This Row],[Eelarvekonto]],Table5[[Konto]:[Kontode alanimetus]],5,FALSE)</f>
        <v>Majandamiskulud</v>
      </c>
      <c r="R1516" s="53" t="str">
        <f>VLOOKUP(Table1[[#This Row],[Tegevusala kood]],Table4[[Tegevusala kood]:[Tegevusala alanimetus]],4,FALSE)</f>
        <v>Valla- ja linnavalitsus</v>
      </c>
      <c r="S1516" s="53"/>
      <c r="T1516" s="53"/>
      <c r="U1516" s="53">
        <f>Table1[[#This Row],[Summa]]+Table1[[#This Row],[I Muudatus]]+Table1[[#This Row],[II Muudatus]]</f>
        <v>600</v>
      </c>
    </row>
    <row r="1517" spans="1:21" ht="14.25" hidden="1" customHeight="1" x14ac:dyDescent="0.25">
      <c r="A1517" s="42" t="s">
        <v>1554</v>
      </c>
      <c r="B1517" s="42">
        <v>3000</v>
      </c>
      <c r="C1517" s="42">
        <v>5514</v>
      </c>
      <c r="D1517" s="53" t="str">
        <f>LEFT(Table1[[#This Row],[Eelarvekonto]],2)</f>
        <v>55</v>
      </c>
      <c r="E1517" s="53" t="str">
        <f>VLOOKUP(Table1[[#This Row],[Eelarvekonto]],Table5[[Konto]:[Konto nimetus]],2,FALSE)</f>
        <v>Info- ja kommunikatsioonitehnoloogia kulud</v>
      </c>
      <c r="F1517" s="68" t="s">
        <v>139</v>
      </c>
      <c r="G1517" s="68" t="s">
        <v>24</v>
      </c>
      <c r="H1517" s="68"/>
      <c r="I1517" s="68"/>
      <c r="J1517" s="68" t="s">
        <v>139</v>
      </c>
      <c r="K1517" s="68" t="s">
        <v>54</v>
      </c>
      <c r="L1517" s="58" t="s">
        <v>404</v>
      </c>
      <c r="M1517" s="112" t="str">
        <f>LEFT(Table1[[#This Row],[Tegevusala kood]],2)</f>
        <v>01</v>
      </c>
      <c r="N1517" s="53" t="str">
        <f>VLOOKUP(Table1[[#This Row],[Tegevusala kood]],Table4[[Tegevusala kood]:[Tegevusala alanimetus]],2,FALSE)</f>
        <v>Valla- ja linnavalitsus</v>
      </c>
      <c r="O1517" s="42"/>
      <c r="P1517" s="42"/>
      <c r="Q1517" s="53" t="str">
        <f>VLOOKUP(Table1[[#This Row],[Eelarvekonto]],Table5[[Konto]:[Kontode alanimetus]],5,FALSE)</f>
        <v>Majandamiskulud</v>
      </c>
      <c r="R1517" s="53" t="str">
        <f>VLOOKUP(Table1[[#This Row],[Tegevusala kood]],Table4[[Tegevusala kood]:[Tegevusala alanimetus]],4,FALSE)</f>
        <v>Valla- ja linnavalitsus</v>
      </c>
      <c r="S1517" s="53"/>
      <c r="T1517" s="53"/>
      <c r="U1517" s="53">
        <f>Table1[[#This Row],[Summa]]+Table1[[#This Row],[I Muudatus]]+Table1[[#This Row],[II Muudatus]]</f>
        <v>3000</v>
      </c>
    </row>
    <row r="1518" spans="1:21" ht="14.25" hidden="1" customHeight="1" x14ac:dyDescent="0.25">
      <c r="A1518" s="42" t="s">
        <v>1555</v>
      </c>
      <c r="B1518" s="42">
        <v>10000</v>
      </c>
      <c r="C1518" s="42">
        <v>5515</v>
      </c>
      <c r="D1518" s="53" t="str">
        <f>LEFT(Table1[[#This Row],[Eelarvekonto]],2)</f>
        <v>55</v>
      </c>
      <c r="E1518" s="53" t="str">
        <f>VLOOKUP(Table1[[#This Row],[Eelarvekonto]],Table5[[Konto]:[Konto nimetus]],2,FALSE)</f>
        <v>Inventari majandamiskulud</v>
      </c>
      <c r="F1518" s="68" t="s">
        <v>139</v>
      </c>
      <c r="G1518" s="68" t="s">
        <v>24</v>
      </c>
      <c r="H1518" s="68"/>
      <c r="I1518" s="68"/>
      <c r="J1518" s="68" t="s">
        <v>139</v>
      </c>
      <c r="K1518" s="68" t="s">
        <v>54</v>
      </c>
      <c r="L1518" s="58" t="s">
        <v>404</v>
      </c>
      <c r="M1518" s="104" t="str">
        <f>LEFT(Table1[[#This Row],[Tegevusala kood]],2)</f>
        <v>01</v>
      </c>
      <c r="N1518" s="53" t="str">
        <f>VLOOKUP(Table1[[#This Row],[Tegevusala kood]],Table4[[Tegevusala kood]:[Tegevusala alanimetus]],2,FALSE)</f>
        <v>Valla- ja linnavalitsus</v>
      </c>
      <c r="O1518" s="42"/>
      <c r="P1518" s="42"/>
      <c r="Q1518" s="53" t="str">
        <f>VLOOKUP(Table1[[#This Row],[Eelarvekonto]],Table5[[Konto]:[Kontode alanimetus]],5,FALSE)</f>
        <v>Majandamiskulud</v>
      </c>
      <c r="R1518" s="53" t="str">
        <f>VLOOKUP(Table1[[#This Row],[Tegevusala kood]],Table4[[Tegevusala kood]:[Tegevusala alanimetus]],4,FALSE)</f>
        <v>Valla- ja linnavalitsus</v>
      </c>
      <c r="S1518" s="53"/>
      <c r="T1518" s="53"/>
      <c r="U1518" s="53">
        <f>Table1[[#This Row],[Summa]]+Table1[[#This Row],[I Muudatus]]+Table1[[#This Row],[II Muudatus]]</f>
        <v>10000</v>
      </c>
    </row>
    <row r="1519" spans="1:21" ht="14.25" hidden="1" customHeight="1" x14ac:dyDescent="0.25">
      <c r="A1519" s="42" t="s">
        <v>1556</v>
      </c>
      <c r="B1519" s="42">
        <f>12*500</f>
        <v>6000</v>
      </c>
      <c r="C1519" s="42">
        <v>5000</v>
      </c>
      <c r="D1519" s="53" t="str">
        <f>LEFT(Table1[[#This Row],[Eelarvekonto]],2)</f>
        <v>50</v>
      </c>
      <c r="E1519" s="53" t="str">
        <f>VLOOKUP(Table1[[#This Row],[Eelarvekonto]],Table5[[Konto]:[Konto nimetus]],2,FALSE)</f>
        <v>Valitavate ametnike ja kõrgemate riigiteenijate töötasu</v>
      </c>
      <c r="F1519" s="68" t="s">
        <v>139</v>
      </c>
      <c r="G1519" s="68" t="s">
        <v>24</v>
      </c>
      <c r="H1519" s="68"/>
      <c r="I1519" s="68"/>
      <c r="J1519" s="68" t="s">
        <v>764</v>
      </c>
      <c r="K1519" s="68" t="s">
        <v>53</v>
      </c>
      <c r="L1519" s="58" t="s">
        <v>763</v>
      </c>
      <c r="M1519" s="58" t="str">
        <f>LEFT(Table1[[#This Row],[Tegevusala kood]],2)</f>
        <v>01</v>
      </c>
      <c r="N1519" s="53" t="str">
        <f>VLOOKUP(Table1[[#This Row],[Tegevusala kood]],Table4[[Tegevusala kood]:[Tegevusala alanimetus]],2,FALSE)</f>
        <v>Valla- ja linnavolikogu</v>
      </c>
      <c r="O1519" s="42"/>
      <c r="P1519" s="42"/>
      <c r="Q1519" s="53" t="str">
        <f>VLOOKUP(Table1[[#This Row],[Eelarvekonto]],Table5[[Konto]:[Kontode alanimetus]],5,FALSE)</f>
        <v>Tööjõukulud</v>
      </c>
      <c r="R1519" s="53" t="str">
        <f>VLOOKUP(Table1[[#This Row],[Tegevusala kood]],Table4[[Tegevusala kood]:[Tegevusala alanimetus]],4,FALSE)</f>
        <v>Valla- ja linnavolikogu</v>
      </c>
      <c r="S1519" s="53"/>
      <c r="T1519" s="53"/>
      <c r="U1519" s="53">
        <f>Table1[[#This Row],[Summa]]+Table1[[#This Row],[I Muudatus]]+Table1[[#This Row],[II Muudatus]]</f>
        <v>6000</v>
      </c>
    </row>
    <row r="1520" spans="1:21" ht="14.25" hidden="1" customHeight="1" x14ac:dyDescent="0.25">
      <c r="A1520" s="42" t="s">
        <v>158</v>
      </c>
      <c r="B1520" s="42">
        <v>92204.783258594922</v>
      </c>
      <c r="C1520" s="42">
        <v>506</v>
      </c>
      <c r="D1520" s="53" t="str">
        <f>LEFT(Table1[[#This Row],[Eelarvekonto]],2)</f>
        <v>50</v>
      </c>
      <c r="E1520" s="53" t="str">
        <f>VLOOKUP(Table1[[#This Row],[Eelarvekonto]],Table5[[Konto]:[Konto nimetus]],2,FALSE)</f>
        <v>Tööjõukuludega kaasnevad maksud ja sotsiaalkindlustusmaksed</v>
      </c>
      <c r="F1520" s="42" t="s">
        <v>139</v>
      </c>
      <c r="G1520" s="42" t="s">
        <v>24</v>
      </c>
      <c r="H1520" s="42" t="s">
        <v>1</v>
      </c>
      <c r="I1520" s="42" t="s">
        <v>1</v>
      </c>
      <c r="J1520" s="42" t="s">
        <v>280</v>
      </c>
      <c r="K1520" s="42" t="s">
        <v>1561</v>
      </c>
      <c r="L1520" s="113" t="s">
        <v>279</v>
      </c>
      <c r="M1520" s="114" t="str">
        <f>LEFT(Table1[[#This Row],[Tegevusala kood]],2)</f>
        <v>09</v>
      </c>
      <c r="N1520" s="53" t="str">
        <f>VLOOKUP(Table1[[#This Row],[Tegevusala kood]],Table4[[Tegevusala kood]:[Tegevusala alanimetus]],2,FALSE)</f>
        <v>Laekvere Kool</v>
      </c>
      <c r="O1520" s="42" t="s">
        <v>498</v>
      </c>
      <c r="P1520" s="42" t="s">
        <v>1397</v>
      </c>
      <c r="Q1520" s="53" t="str">
        <f>VLOOKUP(Table1[[#This Row],[Eelarvekonto]],Table5[[Konto]:[Kontode alanimetus]],5,FALSE)</f>
        <v>Tööjõukulud</v>
      </c>
      <c r="R1520" s="53" t="str">
        <f>VLOOKUP(Table1[[#This Row],[Tegevusala kood]],Table4[[Tegevusala kood]:[Tegevusala alanimetus]],4,FALSE)</f>
        <v>Põhihariduse otsekulud</v>
      </c>
      <c r="S1520" s="53"/>
      <c r="T1520" s="53"/>
      <c r="U1520" s="53">
        <f>Table1[[#This Row],[Summa]]+Table1[[#This Row],[I Muudatus]]+Table1[[#This Row],[II Muudatus]]</f>
        <v>92204.783258594922</v>
      </c>
    </row>
    <row r="1521" spans="1:21" ht="14.25" hidden="1" customHeight="1" x14ac:dyDescent="0.25">
      <c r="A1521" s="42" t="s">
        <v>1557</v>
      </c>
      <c r="B1521" s="42">
        <v>272795.21674140508</v>
      </c>
      <c r="C1521" s="42">
        <v>5002</v>
      </c>
      <c r="D1521" s="53" t="str">
        <f>LEFT(Table1[[#This Row],[Eelarvekonto]],2)</f>
        <v>50</v>
      </c>
      <c r="E1521" s="53" t="str">
        <f>VLOOKUP(Table1[[#This Row],[Eelarvekonto]],Table5[[Konto]:[Konto nimetus]],2,FALSE)</f>
        <v>Töötajate töötasud</v>
      </c>
      <c r="F1521" s="42" t="s">
        <v>139</v>
      </c>
      <c r="G1521" s="42" t="s">
        <v>24</v>
      </c>
      <c r="H1521" s="42" t="s">
        <v>1</v>
      </c>
      <c r="I1521" s="42" t="s">
        <v>1</v>
      </c>
      <c r="J1521" s="42" t="s">
        <v>280</v>
      </c>
      <c r="K1521" s="42" t="s">
        <v>1561</v>
      </c>
      <c r="L1521" s="113" t="s">
        <v>279</v>
      </c>
      <c r="M1521" s="114" t="str">
        <f>LEFT(Table1[[#This Row],[Tegevusala kood]],2)</f>
        <v>09</v>
      </c>
      <c r="N1521" s="53" t="str">
        <f>VLOOKUP(Table1[[#This Row],[Tegevusala kood]],Table4[[Tegevusala kood]:[Tegevusala alanimetus]],2,FALSE)</f>
        <v>Laekvere Kool</v>
      </c>
      <c r="O1521" s="42" t="s">
        <v>498</v>
      </c>
      <c r="P1521" s="42" t="s">
        <v>1397</v>
      </c>
      <c r="Q1521" s="53" t="str">
        <f>VLOOKUP(Table1[[#This Row],[Eelarvekonto]],Table5[[Konto]:[Kontode alanimetus]],5,FALSE)</f>
        <v>Tööjõukulud</v>
      </c>
      <c r="R1521" s="53" t="str">
        <f>VLOOKUP(Table1[[#This Row],[Tegevusala kood]],Table4[[Tegevusala kood]:[Tegevusala alanimetus]],4,FALSE)</f>
        <v>Põhihariduse otsekulud</v>
      </c>
      <c r="S1521" s="53"/>
      <c r="T1521" s="53"/>
      <c r="U1521" s="53">
        <f>Table1[[#This Row],[Summa]]+Table1[[#This Row],[I Muudatus]]+Table1[[#This Row],[II Muudatus]]</f>
        <v>272795.21674140508</v>
      </c>
    </row>
    <row r="1522" spans="1:21" ht="14.25" hidden="1" customHeight="1" x14ac:dyDescent="0.25">
      <c r="A1522" s="42" t="s">
        <v>1558</v>
      </c>
      <c r="B1522" s="42">
        <v>1925</v>
      </c>
      <c r="C1522" s="42">
        <v>5504</v>
      </c>
      <c r="D1522" s="53" t="str">
        <f>LEFT(Table1[[#This Row],[Eelarvekonto]],2)</f>
        <v>55</v>
      </c>
      <c r="E1522" s="53" t="str">
        <f>VLOOKUP(Table1[[#This Row],[Eelarvekonto]],Table5[[Konto]:[Konto nimetus]],2,FALSE)</f>
        <v>Koolituskulud (sh koolituslähetus)</v>
      </c>
      <c r="F1522" s="42" t="s">
        <v>139</v>
      </c>
      <c r="G1522" s="42" t="s">
        <v>24</v>
      </c>
      <c r="H1522" s="42"/>
      <c r="I1522" s="42"/>
      <c r="J1522" s="42" t="s">
        <v>280</v>
      </c>
      <c r="K1522" s="42" t="s">
        <v>1561</v>
      </c>
      <c r="L1522" s="113" t="s">
        <v>279</v>
      </c>
      <c r="M1522" s="114" t="str">
        <f>LEFT(Table1[[#This Row],[Tegevusala kood]],2)</f>
        <v>09</v>
      </c>
      <c r="N1522" s="53" t="str">
        <f>VLOOKUP(Table1[[#This Row],[Tegevusala kood]],Table4[[Tegevusala kood]:[Tegevusala alanimetus]],2,FALSE)</f>
        <v>Laekvere Kool</v>
      </c>
      <c r="O1522" s="42" t="s">
        <v>498</v>
      </c>
      <c r="P1522" s="42" t="s">
        <v>1397</v>
      </c>
      <c r="Q1522" s="53" t="str">
        <f>VLOOKUP(Table1[[#This Row],[Eelarvekonto]],Table5[[Konto]:[Kontode alanimetus]],5,FALSE)</f>
        <v>Majandamiskulud</v>
      </c>
      <c r="R1522" s="53" t="str">
        <f>VLOOKUP(Table1[[#This Row],[Tegevusala kood]],Table4[[Tegevusala kood]:[Tegevusala alanimetus]],4,FALSE)</f>
        <v>Põhihariduse otsekulud</v>
      </c>
      <c r="S1522" s="53"/>
      <c r="T1522" s="53"/>
      <c r="U1522" s="53">
        <f>Table1[[#This Row],[Summa]]+Table1[[#This Row],[I Muudatus]]+Table1[[#This Row],[II Muudatus]]</f>
        <v>1925</v>
      </c>
    </row>
    <row r="1523" spans="1:21" ht="14.25" hidden="1" customHeight="1" x14ac:dyDescent="0.25">
      <c r="A1523" s="42" t="s">
        <v>160</v>
      </c>
      <c r="B1523" s="42">
        <v>19600</v>
      </c>
      <c r="C1523" s="42">
        <v>5521</v>
      </c>
      <c r="D1523" s="53" t="str">
        <f>LEFT(Table1[[#This Row],[Eelarvekonto]],2)</f>
        <v>55</v>
      </c>
      <c r="E1523" s="53" t="str">
        <f>VLOOKUP(Table1[[#This Row],[Eelarvekonto]],Table5[[Konto]:[Konto nimetus]],2,FALSE)</f>
        <v>Toiduained ja toitlustusteenused</v>
      </c>
      <c r="F1523" s="42" t="s">
        <v>139</v>
      </c>
      <c r="G1523" s="42" t="s">
        <v>24</v>
      </c>
      <c r="H1523" s="42" t="s">
        <v>1</v>
      </c>
      <c r="I1523" s="42" t="s">
        <v>1</v>
      </c>
      <c r="J1523" s="42" t="s">
        <v>280</v>
      </c>
      <c r="K1523" s="42" t="s">
        <v>1561</v>
      </c>
      <c r="L1523" s="113" t="s">
        <v>279</v>
      </c>
      <c r="M1523" s="114" t="str">
        <f>LEFT(Table1[[#This Row],[Tegevusala kood]],2)</f>
        <v>09</v>
      </c>
      <c r="N1523" s="53" t="str">
        <f>VLOOKUP(Table1[[#This Row],[Tegevusala kood]],Table4[[Tegevusala kood]:[Tegevusala alanimetus]],2,FALSE)</f>
        <v>Laekvere Kool</v>
      </c>
      <c r="O1523" s="42" t="s">
        <v>498</v>
      </c>
      <c r="P1523" s="42" t="s">
        <v>1397</v>
      </c>
      <c r="Q1523" s="53" t="str">
        <f>VLOOKUP(Table1[[#This Row],[Eelarvekonto]],Table5[[Konto]:[Kontode alanimetus]],5,FALSE)</f>
        <v>Majandamiskulud</v>
      </c>
      <c r="R1523" s="53" t="str">
        <f>VLOOKUP(Table1[[#This Row],[Tegevusala kood]],Table4[[Tegevusala kood]:[Tegevusala alanimetus]],4,FALSE)</f>
        <v>Põhihariduse otsekulud</v>
      </c>
      <c r="S1523" s="53"/>
      <c r="T1523" s="53"/>
      <c r="U1523" s="53">
        <f>Table1[[#This Row],[Summa]]+Table1[[#This Row],[I Muudatus]]+Table1[[#This Row],[II Muudatus]]</f>
        <v>19600</v>
      </c>
    </row>
    <row r="1524" spans="1:21" ht="14.25" hidden="1" customHeight="1" x14ac:dyDescent="0.25">
      <c r="A1524" s="42" t="s">
        <v>1559</v>
      </c>
      <c r="B1524" s="42">
        <v>6384</v>
      </c>
      <c r="C1524" s="42">
        <v>5524</v>
      </c>
      <c r="D1524" s="53" t="str">
        <f>LEFT(Table1[[#This Row],[Eelarvekonto]],2)</f>
        <v>55</v>
      </c>
      <c r="E1524" s="53" t="str">
        <f>VLOOKUP(Table1[[#This Row],[Eelarvekonto]],Table5[[Konto]:[Konto nimetus]],2,FALSE)</f>
        <v>Õppevahendite ja koolituse kulud</v>
      </c>
      <c r="F1524" s="42" t="s">
        <v>139</v>
      </c>
      <c r="G1524" s="42" t="s">
        <v>24</v>
      </c>
      <c r="H1524" s="42"/>
      <c r="I1524" s="42"/>
      <c r="J1524" s="42" t="s">
        <v>280</v>
      </c>
      <c r="K1524" s="42" t="s">
        <v>1561</v>
      </c>
      <c r="L1524" s="113" t="s">
        <v>279</v>
      </c>
      <c r="M1524" s="114" t="str">
        <f>LEFT(Table1[[#This Row],[Tegevusala kood]],2)</f>
        <v>09</v>
      </c>
      <c r="N1524" s="53" t="str">
        <f>VLOOKUP(Table1[[#This Row],[Tegevusala kood]],Table4[[Tegevusala kood]:[Tegevusala alanimetus]],2,FALSE)</f>
        <v>Laekvere Kool</v>
      </c>
      <c r="O1524" s="42" t="s">
        <v>498</v>
      </c>
      <c r="P1524" s="42" t="s">
        <v>1397</v>
      </c>
      <c r="Q1524" s="53" t="str">
        <f>VLOOKUP(Table1[[#This Row],[Eelarvekonto]],Table5[[Konto]:[Kontode alanimetus]],5,FALSE)</f>
        <v>Majandamiskulud</v>
      </c>
      <c r="R1524" s="53" t="str">
        <f>VLOOKUP(Table1[[#This Row],[Tegevusala kood]],Table4[[Tegevusala kood]:[Tegevusala alanimetus]],4,FALSE)</f>
        <v>Põhihariduse otsekulud</v>
      </c>
      <c r="S1524" s="53"/>
      <c r="T1524" s="53"/>
      <c r="U1524" s="53">
        <f>Table1[[#This Row],[Summa]]+Table1[[#This Row],[I Muudatus]]+Table1[[#This Row],[II Muudatus]]</f>
        <v>6384</v>
      </c>
    </row>
    <row r="1525" spans="1:21" ht="14.25" hidden="1" customHeight="1" x14ac:dyDescent="0.25">
      <c r="A1525" s="42" t="s">
        <v>1560</v>
      </c>
      <c r="B1525" s="42">
        <v>28163.677130044842</v>
      </c>
      <c r="C1525" s="42">
        <v>5002</v>
      </c>
      <c r="D1525" s="53" t="str">
        <f>LEFT(Table1[[#This Row],[Eelarvekonto]],2)</f>
        <v>50</v>
      </c>
      <c r="E1525" s="53" t="str">
        <f>VLOOKUP(Table1[[#This Row],[Eelarvekonto]],Table5[[Konto]:[Konto nimetus]],2,FALSE)</f>
        <v>Töötajate töötasud</v>
      </c>
      <c r="F1525" s="42" t="s">
        <v>139</v>
      </c>
      <c r="G1525" s="42" t="s">
        <v>24</v>
      </c>
      <c r="H1525" s="42" t="s">
        <v>1</v>
      </c>
      <c r="I1525" s="42" t="s">
        <v>1</v>
      </c>
      <c r="J1525" s="42" t="s">
        <v>280</v>
      </c>
      <c r="K1525" s="42" t="s">
        <v>1561</v>
      </c>
      <c r="L1525" s="113" t="s">
        <v>279</v>
      </c>
      <c r="M1525" s="114" t="str">
        <f>LEFT(Table1[[#This Row],[Tegevusala kood]],2)</f>
        <v>09</v>
      </c>
      <c r="N1525" s="53" t="str">
        <f>VLOOKUP(Table1[[#This Row],[Tegevusala kood]],Table4[[Tegevusala kood]:[Tegevusala alanimetus]],2,FALSE)</f>
        <v>Laekvere Kool</v>
      </c>
      <c r="O1525" s="42" t="s">
        <v>498</v>
      </c>
      <c r="P1525" s="42" t="s">
        <v>1397</v>
      </c>
      <c r="Q1525" s="53" t="str">
        <f>VLOOKUP(Table1[[#This Row],[Eelarvekonto]],Table5[[Konto]:[Kontode alanimetus]],5,FALSE)</f>
        <v>Tööjõukulud</v>
      </c>
      <c r="R1525" s="53" t="str">
        <f>VLOOKUP(Table1[[#This Row],[Tegevusala kood]],Table4[[Tegevusala kood]:[Tegevusala alanimetus]],4,FALSE)</f>
        <v>Põhihariduse otsekulud</v>
      </c>
      <c r="S1525" s="53"/>
      <c r="T1525" s="53"/>
      <c r="U1525" s="53">
        <f>Table1[[#This Row],[Summa]]+Table1[[#This Row],[I Muudatus]]+Table1[[#This Row],[II Muudatus]]</f>
        <v>28163.677130044842</v>
      </c>
    </row>
    <row r="1526" spans="1:21" ht="14.25" hidden="1" customHeight="1" x14ac:dyDescent="0.25">
      <c r="A1526" s="42" t="s">
        <v>158</v>
      </c>
      <c r="B1526" s="42">
        <v>9519.3228699551564</v>
      </c>
      <c r="C1526" s="42">
        <v>506</v>
      </c>
      <c r="D1526" s="53" t="str">
        <f>LEFT(Table1[[#This Row],[Eelarvekonto]],2)</f>
        <v>50</v>
      </c>
      <c r="E1526" s="53" t="str">
        <f>VLOOKUP(Table1[[#This Row],[Eelarvekonto]],Table5[[Konto]:[Konto nimetus]],2,FALSE)</f>
        <v>Tööjõukuludega kaasnevad maksud ja sotsiaalkindlustusmaksed</v>
      </c>
      <c r="F1526" s="42" t="s">
        <v>139</v>
      </c>
      <c r="G1526" s="42" t="s">
        <v>24</v>
      </c>
      <c r="H1526" s="42" t="s">
        <v>1</v>
      </c>
      <c r="I1526" s="42" t="s">
        <v>1</v>
      </c>
      <c r="J1526" s="42" t="s">
        <v>280</v>
      </c>
      <c r="K1526" s="42" t="s">
        <v>1561</v>
      </c>
      <c r="L1526" s="113" t="s">
        <v>279</v>
      </c>
      <c r="M1526" s="114" t="str">
        <f>LEFT(Table1[[#This Row],[Tegevusala kood]],2)</f>
        <v>09</v>
      </c>
      <c r="N1526" s="53" t="str">
        <f>VLOOKUP(Table1[[#This Row],[Tegevusala kood]],Table4[[Tegevusala kood]:[Tegevusala alanimetus]],2,FALSE)</f>
        <v>Laekvere Kool</v>
      </c>
      <c r="O1526" s="42" t="s">
        <v>498</v>
      </c>
      <c r="P1526" s="42" t="s">
        <v>1397</v>
      </c>
      <c r="Q1526" s="53" t="str">
        <f>VLOOKUP(Table1[[#This Row],[Eelarvekonto]],Table5[[Konto]:[Kontode alanimetus]],5,FALSE)</f>
        <v>Tööjõukulud</v>
      </c>
      <c r="R1526" s="53" t="str">
        <f>VLOOKUP(Table1[[#This Row],[Tegevusala kood]],Table4[[Tegevusala kood]:[Tegevusala alanimetus]],4,FALSE)</f>
        <v>Põhihariduse otsekulud</v>
      </c>
      <c r="S1526" s="53"/>
      <c r="T1526" s="53"/>
      <c r="U1526" s="53">
        <f>Table1[[#This Row],[Summa]]+Table1[[#This Row],[I Muudatus]]+Table1[[#This Row],[II Muudatus]]</f>
        <v>9519.3228699551564</v>
      </c>
    </row>
    <row r="1527" spans="1:21" ht="14.25" hidden="1" customHeight="1" x14ac:dyDescent="0.25">
      <c r="A1527" s="42" t="s">
        <v>158</v>
      </c>
      <c r="B1527" s="42">
        <v>66437.967115097155</v>
      </c>
      <c r="C1527" s="42">
        <v>506</v>
      </c>
      <c r="D1527" s="53" t="str">
        <f>LEFT(Table1[[#This Row],[Eelarvekonto]],2)</f>
        <v>50</v>
      </c>
      <c r="E1527" s="53" t="str">
        <f>VLOOKUP(Table1[[#This Row],[Eelarvekonto]],Table5[[Konto]:[Konto nimetus]],2,FALSE)</f>
        <v>Tööjõukuludega kaasnevad maksud ja sotsiaalkindlustusmaksed</v>
      </c>
      <c r="F1527" s="42" t="s">
        <v>139</v>
      </c>
      <c r="G1527" s="42" t="s">
        <v>24</v>
      </c>
      <c r="H1527" s="42" t="s">
        <v>1</v>
      </c>
      <c r="I1527" s="42" t="s">
        <v>1</v>
      </c>
      <c r="J1527" s="42" t="s">
        <v>264</v>
      </c>
      <c r="K1527" s="42" t="s">
        <v>263</v>
      </c>
      <c r="L1527" s="113" t="s">
        <v>266</v>
      </c>
      <c r="M1527" s="114" t="str">
        <f>LEFT(Table1[[#This Row],[Tegevusala kood]],2)</f>
        <v>09</v>
      </c>
      <c r="N1527" s="53" t="str">
        <f>VLOOKUP(Table1[[#This Row],[Tegevusala kood]],Table4[[Tegevusala kood]:[Tegevusala alanimetus]],2,FALSE)</f>
        <v>Roela kool</v>
      </c>
      <c r="O1527" s="42" t="s">
        <v>498</v>
      </c>
      <c r="P1527" s="42" t="s">
        <v>1397</v>
      </c>
      <c r="Q1527" s="53" t="str">
        <f>VLOOKUP(Table1[[#This Row],[Eelarvekonto]],Table5[[Konto]:[Kontode alanimetus]],5,FALSE)</f>
        <v>Tööjõukulud</v>
      </c>
      <c r="R1527" s="53" t="str">
        <f>VLOOKUP(Table1[[#This Row],[Tegevusala kood]],Table4[[Tegevusala kood]:[Tegevusala alanimetus]],4,FALSE)</f>
        <v>Põhihariduse otsekulud</v>
      </c>
      <c r="S1527" s="53"/>
      <c r="T1527" s="53"/>
      <c r="U1527" s="53">
        <f>Table1[[#This Row],[Summa]]+Table1[[#This Row],[I Muudatus]]+Table1[[#This Row],[II Muudatus]]</f>
        <v>66437.967115097155</v>
      </c>
    </row>
    <row r="1528" spans="1:21" ht="14.25" hidden="1" customHeight="1" x14ac:dyDescent="0.25">
      <c r="A1528" s="42" t="s">
        <v>1557</v>
      </c>
      <c r="B1528" s="42">
        <v>196562.03288490282</v>
      </c>
      <c r="C1528" s="42">
        <v>5002</v>
      </c>
      <c r="D1528" s="53" t="str">
        <f>LEFT(Table1[[#This Row],[Eelarvekonto]],2)</f>
        <v>50</v>
      </c>
      <c r="E1528" s="53" t="str">
        <f>VLOOKUP(Table1[[#This Row],[Eelarvekonto]],Table5[[Konto]:[Konto nimetus]],2,FALSE)</f>
        <v>Töötajate töötasud</v>
      </c>
      <c r="F1528" s="42" t="s">
        <v>139</v>
      </c>
      <c r="G1528" s="42" t="s">
        <v>24</v>
      </c>
      <c r="H1528" s="42" t="s">
        <v>1</v>
      </c>
      <c r="I1528" s="42" t="s">
        <v>1</v>
      </c>
      <c r="J1528" s="42" t="s">
        <v>264</v>
      </c>
      <c r="K1528" s="42" t="s">
        <v>263</v>
      </c>
      <c r="L1528" s="113" t="s">
        <v>266</v>
      </c>
      <c r="M1528" s="114" t="str">
        <f>LEFT(Table1[[#This Row],[Tegevusala kood]],2)</f>
        <v>09</v>
      </c>
      <c r="N1528" s="53" t="str">
        <f>VLOOKUP(Table1[[#This Row],[Tegevusala kood]],Table4[[Tegevusala kood]:[Tegevusala alanimetus]],2,FALSE)</f>
        <v>Roela kool</v>
      </c>
      <c r="O1528" s="42" t="s">
        <v>498</v>
      </c>
      <c r="P1528" s="42" t="s">
        <v>1397</v>
      </c>
      <c r="Q1528" s="53" t="str">
        <f>VLOOKUP(Table1[[#This Row],[Eelarvekonto]],Table5[[Konto]:[Kontode alanimetus]],5,FALSE)</f>
        <v>Tööjõukulud</v>
      </c>
      <c r="R1528" s="53" t="str">
        <f>VLOOKUP(Table1[[#This Row],[Tegevusala kood]],Table4[[Tegevusala kood]:[Tegevusala alanimetus]],4,FALSE)</f>
        <v>Põhihariduse otsekulud</v>
      </c>
      <c r="S1528" s="53"/>
      <c r="T1528" s="53"/>
      <c r="U1528" s="53">
        <f>Table1[[#This Row],[Summa]]+Table1[[#This Row],[I Muudatus]]+Table1[[#This Row],[II Muudatus]]</f>
        <v>196562.03288490282</v>
      </c>
    </row>
    <row r="1529" spans="1:21" ht="14.25" hidden="1" customHeight="1" x14ac:dyDescent="0.25">
      <c r="A1529" s="42" t="s">
        <v>160</v>
      </c>
      <c r="B1529" s="42">
        <v>12250</v>
      </c>
      <c r="C1529" s="42">
        <v>5521</v>
      </c>
      <c r="D1529" s="53" t="str">
        <f>LEFT(Table1[[#This Row],[Eelarvekonto]],2)</f>
        <v>55</v>
      </c>
      <c r="E1529" s="53" t="str">
        <f>VLOOKUP(Table1[[#This Row],[Eelarvekonto]],Table5[[Konto]:[Konto nimetus]],2,FALSE)</f>
        <v>Toiduained ja toitlustusteenused</v>
      </c>
      <c r="F1529" s="42" t="s">
        <v>139</v>
      </c>
      <c r="G1529" s="42" t="s">
        <v>24</v>
      </c>
      <c r="H1529" s="42" t="s">
        <v>1</v>
      </c>
      <c r="I1529" s="42" t="s">
        <v>1</v>
      </c>
      <c r="J1529" s="42" t="s">
        <v>264</v>
      </c>
      <c r="K1529" s="42" t="s">
        <v>263</v>
      </c>
      <c r="L1529" s="113" t="s">
        <v>266</v>
      </c>
      <c r="M1529" s="114" t="str">
        <f>LEFT(Table1[[#This Row],[Tegevusala kood]],2)</f>
        <v>09</v>
      </c>
      <c r="N1529" s="53" t="str">
        <f>VLOOKUP(Table1[[#This Row],[Tegevusala kood]],Table4[[Tegevusala kood]:[Tegevusala alanimetus]],2,FALSE)</f>
        <v>Roela kool</v>
      </c>
      <c r="O1529" s="42" t="s">
        <v>498</v>
      </c>
      <c r="P1529" s="42" t="s">
        <v>1397</v>
      </c>
      <c r="Q1529" s="53" t="str">
        <f>VLOOKUP(Table1[[#This Row],[Eelarvekonto]],Table5[[Konto]:[Kontode alanimetus]],5,FALSE)</f>
        <v>Majandamiskulud</v>
      </c>
      <c r="R1529" s="53" t="str">
        <f>VLOOKUP(Table1[[#This Row],[Tegevusala kood]],Table4[[Tegevusala kood]:[Tegevusala alanimetus]],4,FALSE)</f>
        <v>Põhihariduse otsekulud</v>
      </c>
      <c r="S1529" s="53"/>
      <c r="T1529" s="53"/>
      <c r="U1529" s="53">
        <f>Table1[[#This Row],[Summa]]+Table1[[#This Row],[I Muudatus]]+Table1[[#This Row],[II Muudatus]]</f>
        <v>12250</v>
      </c>
    </row>
    <row r="1530" spans="1:21" ht="14.25" hidden="1" customHeight="1" x14ac:dyDescent="0.25">
      <c r="A1530" s="42" t="s">
        <v>1558</v>
      </c>
      <c r="B1530" s="42">
        <v>1203</v>
      </c>
      <c r="C1530" s="42">
        <v>5504</v>
      </c>
      <c r="D1530" s="53" t="str">
        <f>LEFT(Table1[[#This Row],[Eelarvekonto]],2)</f>
        <v>55</v>
      </c>
      <c r="E1530" s="53" t="str">
        <f>VLOOKUP(Table1[[#This Row],[Eelarvekonto]],Table5[[Konto]:[Konto nimetus]],2,FALSE)</f>
        <v>Koolituskulud (sh koolituslähetus)</v>
      </c>
      <c r="F1530" s="42" t="s">
        <v>139</v>
      </c>
      <c r="G1530" s="42" t="s">
        <v>24</v>
      </c>
      <c r="H1530" s="42"/>
      <c r="I1530" s="42"/>
      <c r="J1530" s="42" t="s">
        <v>264</v>
      </c>
      <c r="K1530" s="42" t="s">
        <v>263</v>
      </c>
      <c r="L1530" s="113" t="s">
        <v>266</v>
      </c>
      <c r="M1530" s="114" t="str">
        <f>LEFT(Table1[[#This Row],[Tegevusala kood]],2)</f>
        <v>09</v>
      </c>
      <c r="N1530" s="53" t="str">
        <f>VLOOKUP(Table1[[#This Row],[Tegevusala kood]],Table4[[Tegevusala kood]:[Tegevusala alanimetus]],2,FALSE)</f>
        <v>Roela kool</v>
      </c>
      <c r="O1530" s="42" t="s">
        <v>498</v>
      </c>
      <c r="P1530" s="42" t="s">
        <v>1397</v>
      </c>
      <c r="Q1530" s="53" t="str">
        <f>VLOOKUP(Table1[[#This Row],[Eelarvekonto]],Table5[[Konto]:[Kontode alanimetus]],5,FALSE)</f>
        <v>Majandamiskulud</v>
      </c>
      <c r="R1530" s="53" t="str">
        <f>VLOOKUP(Table1[[#This Row],[Tegevusala kood]],Table4[[Tegevusala kood]:[Tegevusala alanimetus]],4,FALSE)</f>
        <v>Põhihariduse otsekulud</v>
      </c>
      <c r="S1530" s="53"/>
      <c r="T1530" s="53"/>
      <c r="U1530" s="53">
        <f>Table1[[#This Row],[Summa]]+Table1[[#This Row],[I Muudatus]]+Table1[[#This Row],[II Muudatus]]</f>
        <v>1203</v>
      </c>
    </row>
    <row r="1531" spans="1:21" ht="14.25" hidden="1" customHeight="1" x14ac:dyDescent="0.25">
      <c r="A1531" s="42" t="s">
        <v>1559</v>
      </c>
      <c r="B1531" s="42">
        <v>3990</v>
      </c>
      <c r="C1531" s="42">
        <v>5524</v>
      </c>
      <c r="D1531" s="53" t="str">
        <f>LEFT(Table1[[#This Row],[Eelarvekonto]],2)</f>
        <v>55</v>
      </c>
      <c r="E1531" s="53" t="str">
        <f>VLOOKUP(Table1[[#This Row],[Eelarvekonto]],Table5[[Konto]:[Konto nimetus]],2,FALSE)</f>
        <v>Õppevahendite ja koolituse kulud</v>
      </c>
      <c r="F1531" s="42" t="s">
        <v>139</v>
      </c>
      <c r="G1531" s="42" t="s">
        <v>24</v>
      </c>
      <c r="H1531" s="42"/>
      <c r="I1531" s="42"/>
      <c r="J1531" s="42" t="s">
        <v>264</v>
      </c>
      <c r="K1531" s="42" t="s">
        <v>263</v>
      </c>
      <c r="L1531" s="113" t="s">
        <v>266</v>
      </c>
      <c r="M1531" s="114" t="str">
        <f>LEFT(Table1[[#This Row],[Tegevusala kood]],2)</f>
        <v>09</v>
      </c>
      <c r="N1531" s="53" t="str">
        <f>VLOOKUP(Table1[[#This Row],[Tegevusala kood]],Table4[[Tegevusala kood]:[Tegevusala alanimetus]],2,FALSE)</f>
        <v>Roela kool</v>
      </c>
      <c r="O1531" s="42" t="s">
        <v>498</v>
      </c>
      <c r="P1531" s="42" t="s">
        <v>1397</v>
      </c>
      <c r="Q1531" s="53" t="str">
        <f>VLOOKUP(Table1[[#This Row],[Eelarvekonto]],Table5[[Konto]:[Kontode alanimetus]],5,FALSE)</f>
        <v>Majandamiskulud</v>
      </c>
      <c r="R1531" s="53" t="str">
        <f>VLOOKUP(Table1[[#This Row],[Tegevusala kood]],Table4[[Tegevusala kood]:[Tegevusala alanimetus]],4,FALSE)</f>
        <v>Põhihariduse otsekulud</v>
      </c>
      <c r="S1531" s="53"/>
      <c r="T1531" s="53"/>
      <c r="U1531" s="53">
        <f>Table1[[#This Row],[Summa]]+Table1[[#This Row],[I Muudatus]]+Table1[[#This Row],[II Muudatus]]</f>
        <v>3990</v>
      </c>
    </row>
    <row r="1532" spans="1:21" ht="14.25" hidden="1" customHeight="1" x14ac:dyDescent="0.25">
      <c r="A1532" s="42" t="s">
        <v>1572</v>
      </c>
      <c r="B1532" s="42">
        <v>17556.053811659192</v>
      </c>
      <c r="C1532" s="42">
        <v>5002</v>
      </c>
      <c r="D1532" s="53" t="str">
        <f>LEFT(Table1[[#This Row],[Eelarvekonto]],2)</f>
        <v>50</v>
      </c>
      <c r="E1532" s="53" t="str">
        <f>VLOOKUP(Table1[[#This Row],[Eelarvekonto]],Table5[[Konto]:[Konto nimetus]],2,FALSE)</f>
        <v>Töötajate töötasud</v>
      </c>
      <c r="F1532" s="42" t="s">
        <v>139</v>
      </c>
      <c r="G1532" s="42" t="s">
        <v>24</v>
      </c>
      <c r="H1532" s="42" t="s">
        <v>1</v>
      </c>
      <c r="I1532" s="42" t="s">
        <v>1</v>
      </c>
      <c r="J1532" s="42" t="s">
        <v>264</v>
      </c>
      <c r="K1532" s="42" t="s">
        <v>263</v>
      </c>
      <c r="L1532" s="113" t="s">
        <v>266</v>
      </c>
      <c r="M1532" s="114" t="str">
        <f>LEFT(Table1[[#This Row],[Tegevusala kood]],2)</f>
        <v>09</v>
      </c>
      <c r="N1532" s="53" t="str">
        <f>VLOOKUP(Table1[[#This Row],[Tegevusala kood]],Table4[[Tegevusala kood]:[Tegevusala alanimetus]],2,FALSE)</f>
        <v>Roela kool</v>
      </c>
      <c r="O1532" s="42" t="s">
        <v>498</v>
      </c>
      <c r="P1532" s="42" t="s">
        <v>1397</v>
      </c>
      <c r="Q1532" s="53" t="str">
        <f>VLOOKUP(Table1[[#This Row],[Eelarvekonto]],Table5[[Konto]:[Kontode alanimetus]],5,FALSE)</f>
        <v>Tööjõukulud</v>
      </c>
      <c r="R1532" s="53" t="str">
        <f>VLOOKUP(Table1[[#This Row],[Tegevusala kood]],Table4[[Tegevusala kood]:[Tegevusala alanimetus]],4,FALSE)</f>
        <v>Põhihariduse otsekulud</v>
      </c>
      <c r="S1532" s="53"/>
      <c r="T1532" s="53"/>
      <c r="U1532" s="53">
        <f>Table1[[#This Row],[Summa]]+Table1[[#This Row],[I Muudatus]]+Table1[[#This Row],[II Muudatus]]</f>
        <v>17556.053811659192</v>
      </c>
    </row>
    <row r="1533" spans="1:21" ht="14.25" hidden="1" customHeight="1" x14ac:dyDescent="0.25">
      <c r="A1533" s="42" t="s">
        <v>158</v>
      </c>
      <c r="B1533" s="42">
        <v>5933.9461883408076</v>
      </c>
      <c r="C1533" s="42">
        <v>506</v>
      </c>
      <c r="D1533" s="53" t="str">
        <f>LEFT(Table1[[#This Row],[Eelarvekonto]],2)</f>
        <v>50</v>
      </c>
      <c r="E1533" s="53" t="str">
        <f>VLOOKUP(Table1[[#This Row],[Eelarvekonto]],Table5[[Konto]:[Konto nimetus]],2,FALSE)</f>
        <v>Tööjõukuludega kaasnevad maksud ja sotsiaalkindlustusmaksed</v>
      </c>
      <c r="F1533" s="42" t="s">
        <v>139</v>
      </c>
      <c r="G1533" s="42" t="s">
        <v>24</v>
      </c>
      <c r="H1533" s="42" t="s">
        <v>1</v>
      </c>
      <c r="I1533" s="42" t="s">
        <v>1</v>
      </c>
      <c r="J1533" s="42" t="s">
        <v>264</v>
      </c>
      <c r="K1533" s="42" t="s">
        <v>263</v>
      </c>
      <c r="L1533" s="113" t="s">
        <v>266</v>
      </c>
      <c r="M1533" s="114" t="str">
        <f>LEFT(Table1[[#This Row],[Tegevusala kood]],2)</f>
        <v>09</v>
      </c>
      <c r="N1533" s="53" t="str">
        <f>VLOOKUP(Table1[[#This Row],[Tegevusala kood]],Table4[[Tegevusala kood]:[Tegevusala alanimetus]],2,FALSE)</f>
        <v>Roela kool</v>
      </c>
      <c r="O1533" s="42" t="s">
        <v>498</v>
      </c>
      <c r="P1533" s="42" t="s">
        <v>1397</v>
      </c>
      <c r="Q1533" s="53" t="str">
        <f>VLOOKUP(Table1[[#This Row],[Eelarvekonto]],Table5[[Konto]:[Kontode alanimetus]],5,FALSE)</f>
        <v>Tööjõukulud</v>
      </c>
      <c r="R1533" s="53" t="str">
        <f>VLOOKUP(Table1[[#This Row],[Tegevusala kood]],Table4[[Tegevusala kood]:[Tegevusala alanimetus]],4,FALSE)</f>
        <v>Põhihariduse otsekulud</v>
      </c>
      <c r="S1533" s="53"/>
      <c r="T1533" s="53"/>
      <c r="U1533" s="53">
        <f>Table1[[#This Row],[Summa]]+Table1[[#This Row],[I Muudatus]]+Table1[[#This Row],[II Muudatus]]</f>
        <v>5933.9461883408076</v>
      </c>
    </row>
    <row r="1534" spans="1:21" ht="14.25" hidden="1" customHeight="1" x14ac:dyDescent="0.25">
      <c r="A1534" s="42" t="s">
        <v>1558</v>
      </c>
      <c r="B1534" s="42">
        <v>138</v>
      </c>
      <c r="C1534" s="42">
        <v>5504</v>
      </c>
      <c r="D1534" s="53" t="str">
        <f>LEFT(Table1[[#This Row],[Eelarvekonto]],2)</f>
        <v>55</v>
      </c>
      <c r="E1534" s="53" t="str">
        <f>VLOOKUP(Table1[[#This Row],[Eelarvekonto]],Table5[[Konto]:[Konto nimetus]],2,FALSE)</f>
        <v>Koolituskulud (sh koolituslähetus)</v>
      </c>
      <c r="F1534" s="42" t="s">
        <v>139</v>
      </c>
      <c r="G1534" s="42" t="s">
        <v>24</v>
      </c>
      <c r="H1534" s="42"/>
      <c r="I1534" s="42"/>
      <c r="J1534" s="42" t="s">
        <v>258</v>
      </c>
      <c r="K1534" s="42" t="s">
        <v>256</v>
      </c>
      <c r="L1534" s="113" t="s">
        <v>257</v>
      </c>
      <c r="M1534" s="114" t="str">
        <f>LEFT(Table1[[#This Row],[Tegevusala kood]],2)</f>
        <v>09</v>
      </c>
      <c r="N1534" s="53" t="str">
        <f>VLOOKUP(Table1[[#This Row],[Tegevusala kood]],Table4[[Tegevusala kood]:[Tegevusala alanimetus]],2,FALSE)</f>
        <v>Tudu kool</v>
      </c>
      <c r="O1534" s="42" t="s">
        <v>498</v>
      </c>
      <c r="P1534" s="42" t="s">
        <v>1397</v>
      </c>
      <c r="Q1534" s="53" t="str">
        <f>VLOOKUP(Table1[[#This Row],[Eelarvekonto]],Table5[[Konto]:[Kontode alanimetus]],5,FALSE)</f>
        <v>Majandamiskulud</v>
      </c>
      <c r="R1534" s="53" t="str">
        <f>VLOOKUP(Table1[[#This Row],[Tegevusala kood]],Table4[[Tegevusala kood]:[Tegevusala alanimetus]],4,FALSE)</f>
        <v>Põhihariduse otsekulud</v>
      </c>
      <c r="S1534" s="53"/>
      <c r="T1534" s="53"/>
      <c r="U1534" s="53">
        <f>Table1[[#This Row],[Summa]]+Table1[[#This Row],[I Muudatus]]+Table1[[#This Row],[II Muudatus]]</f>
        <v>138</v>
      </c>
    </row>
    <row r="1535" spans="1:21" ht="14.25" hidden="1" customHeight="1" x14ac:dyDescent="0.25">
      <c r="A1535" s="42" t="s">
        <v>160</v>
      </c>
      <c r="B1535" s="42">
        <v>1400</v>
      </c>
      <c r="C1535" s="42">
        <v>5521</v>
      </c>
      <c r="D1535" s="53" t="str">
        <f>LEFT(Table1[[#This Row],[Eelarvekonto]],2)</f>
        <v>55</v>
      </c>
      <c r="E1535" s="53" t="str">
        <f>VLOOKUP(Table1[[#This Row],[Eelarvekonto]],Table5[[Konto]:[Konto nimetus]],2,FALSE)</f>
        <v>Toiduained ja toitlustusteenused</v>
      </c>
      <c r="F1535" s="42" t="s">
        <v>139</v>
      </c>
      <c r="G1535" s="42" t="s">
        <v>24</v>
      </c>
      <c r="H1535" s="42"/>
      <c r="I1535" s="42"/>
      <c r="J1535" s="42" t="s">
        <v>258</v>
      </c>
      <c r="K1535" s="42" t="s">
        <v>256</v>
      </c>
      <c r="L1535" s="113" t="s">
        <v>257</v>
      </c>
      <c r="M1535" s="114" t="str">
        <f>LEFT(Table1[[#This Row],[Tegevusala kood]],2)</f>
        <v>09</v>
      </c>
      <c r="N1535" s="53" t="str">
        <f>VLOOKUP(Table1[[#This Row],[Tegevusala kood]],Table4[[Tegevusala kood]:[Tegevusala alanimetus]],2,FALSE)</f>
        <v>Tudu kool</v>
      </c>
      <c r="O1535" s="42" t="s">
        <v>498</v>
      </c>
      <c r="P1535" s="42" t="s">
        <v>1397</v>
      </c>
      <c r="Q1535" s="53" t="str">
        <f>VLOOKUP(Table1[[#This Row],[Eelarvekonto]],Table5[[Konto]:[Kontode alanimetus]],5,FALSE)</f>
        <v>Majandamiskulud</v>
      </c>
      <c r="R1535" s="53" t="str">
        <f>VLOOKUP(Table1[[#This Row],[Tegevusala kood]],Table4[[Tegevusala kood]:[Tegevusala alanimetus]],4,FALSE)</f>
        <v>Põhihariduse otsekulud</v>
      </c>
      <c r="S1535" s="53"/>
      <c r="T1535" s="53"/>
      <c r="U1535" s="53">
        <f>Table1[[#This Row],[Summa]]+Table1[[#This Row],[I Muudatus]]+Table1[[#This Row],[II Muudatus]]</f>
        <v>1400</v>
      </c>
    </row>
    <row r="1536" spans="1:21" ht="14.25" hidden="1" customHeight="1" x14ac:dyDescent="0.25">
      <c r="A1536" s="42" t="s">
        <v>158</v>
      </c>
      <c r="B1536" s="42">
        <v>11734.005979073243</v>
      </c>
      <c r="C1536" s="42">
        <v>506</v>
      </c>
      <c r="D1536" s="53" t="str">
        <f>LEFT(Table1[[#This Row],[Eelarvekonto]],2)</f>
        <v>50</v>
      </c>
      <c r="E1536" s="53" t="str">
        <f>VLOOKUP(Table1[[#This Row],[Eelarvekonto]],Table5[[Konto]:[Konto nimetus]],2,FALSE)</f>
        <v>Tööjõukuludega kaasnevad maksud ja sotsiaalkindlustusmaksed</v>
      </c>
      <c r="F1536" s="42" t="s">
        <v>139</v>
      </c>
      <c r="G1536" s="42" t="s">
        <v>24</v>
      </c>
      <c r="H1536" s="42"/>
      <c r="I1536" s="42"/>
      <c r="J1536" s="42" t="s">
        <v>258</v>
      </c>
      <c r="K1536" s="42" t="s">
        <v>256</v>
      </c>
      <c r="L1536" s="113" t="s">
        <v>257</v>
      </c>
      <c r="M1536" s="114" t="str">
        <f>LEFT(Table1[[#This Row],[Tegevusala kood]],2)</f>
        <v>09</v>
      </c>
      <c r="N1536" s="53" t="str">
        <f>VLOOKUP(Table1[[#This Row],[Tegevusala kood]],Table4[[Tegevusala kood]:[Tegevusala alanimetus]],2,FALSE)</f>
        <v>Tudu kool</v>
      </c>
      <c r="O1536" s="42" t="s">
        <v>498</v>
      </c>
      <c r="P1536" s="42" t="s">
        <v>1397</v>
      </c>
      <c r="Q1536" s="53" t="str">
        <f>VLOOKUP(Table1[[#This Row],[Eelarvekonto]],Table5[[Konto]:[Kontode alanimetus]],5,FALSE)</f>
        <v>Tööjõukulud</v>
      </c>
      <c r="R1536" s="53" t="str">
        <f>VLOOKUP(Table1[[#This Row],[Tegevusala kood]],Table4[[Tegevusala kood]:[Tegevusala alanimetus]],4,FALSE)</f>
        <v>Põhihariduse otsekulud</v>
      </c>
      <c r="S1536" s="53"/>
      <c r="T1536" s="53"/>
      <c r="U1536" s="53">
        <f>Table1[[#This Row],[Summa]]+Table1[[#This Row],[I Muudatus]]+Table1[[#This Row],[II Muudatus]]</f>
        <v>11734.005979073243</v>
      </c>
    </row>
    <row r="1537" spans="1:21" ht="14.25" hidden="1" customHeight="1" x14ac:dyDescent="0.25">
      <c r="A1537" s="42" t="s">
        <v>1557</v>
      </c>
      <c r="B1537" s="42">
        <v>34715.994020926752</v>
      </c>
      <c r="C1537" s="42">
        <v>5002</v>
      </c>
      <c r="D1537" s="53" t="str">
        <f>LEFT(Table1[[#This Row],[Eelarvekonto]],2)</f>
        <v>50</v>
      </c>
      <c r="E1537" s="53" t="str">
        <f>VLOOKUP(Table1[[#This Row],[Eelarvekonto]],Table5[[Konto]:[Konto nimetus]],2,FALSE)</f>
        <v>Töötajate töötasud</v>
      </c>
      <c r="F1537" s="42" t="s">
        <v>139</v>
      </c>
      <c r="G1537" s="42" t="s">
        <v>24</v>
      </c>
      <c r="H1537" s="42"/>
      <c r="I1537" s="42"/>
      <c r="J1537" s="42" t="s">
        <v>258</v>
      </c>
      <c r="K1537" s="42" t="s">
        <v>256</v>
      </c>
      <c r="L1537" s="113" t="s">
        <v>257</v>
      </c>
      <c r="M1537" s="114" t="str">
        <f>LEFT(Table1[[#This Row],[Tegevusala kood]],2)</f>
        <v>09</v>
      </c>
      <c r="N1537" s="53" t="str">
        <f>VLOOKUP(Table1[[#This Row],[Tegevusala kood]],Table4[[Tegevusala kood]:[Tegevusala alanimetus]],2,FALSE)</f>
        <v>Tudu kool</v>
      </c>
      <c r="O1537" s="42" t="s">
        <v>498</v>
      </c>
      <c r="P1537" s="42" t="s">
        <v>1397</v>
      </c>
      <c r="Q1537" s="53" t="str">
        <f>VLOOKUP(Table1[[#This Row],[Eelarvekonto]],Table5[[Konto]:[Kontode alanimetus]],5,FALSE)</f>
        <v>Tööjõukulud</v>
      </c>
      <c r="R1537" s="53" t="str">
        <f>VLOOKUP(Table1[[#This Row],[Tegevusala kood]],Table4[[Tegevusala kood]:[Tegevusala alanimetus]],4,FALSE)</f>
        <v>Põhihariduse otsekulud</v>
      </c>
      <c r="S1537" s="53"/>
      <c r="T1537" s="53"/>
      <c r="U1537" s="53">
        <f>Table1[[#This Row],[Summa]]+Table1[[#This Row],[I Muudatus]]+Table1[[#This Row],[II Muudatus]]</f>
        <v>34715.994020926752</v>
      </c>
    </row>
    <row r="1538" spans="1:21" ht="14.25" hidden="1" customHeight="1" x14ac:dyDescent="0.25">
      <c r="A1538" s="42" t="s">
        <v>1559</v>
      </c>
      <c r="B1538" s="42">
        <v>456</v>
      </c>
      <c r="C1538" s="42">
        <v>5524</v>
      </c>
      <c r="D1538" s="53" t="str">
        <f>LEFT(Table1[[#This Row],[Eelarvekonto]],2)</f>
        <v>55</v>
      </c>
      <c r="E1538" s="53" t="str">
        <f>VLOOKUP(Table1[[#This Row],[Eelarvekonto]],Table5[[Konto]:[Konto nimetus]],2,FALSE)</f>
        <v>Õppevahendite ja koolituse kulud</v>
      </c>
      <c r="F1538" s="42" t="s">
        <v>139</v>
      </c>
      <c r="G1538" s="42" t="s">
        <v>24</v>
      </c>
      <c r="H1538" s="42"/>
      <c r="I1538" s="42"/>
      <c r="J1538" s="42" t="s">
        <v>258</v>
      </c>
      <c r="K1538" s="42" t="s">
        <v>256</v>
      </c>
      <c r="L1538" s="113" t="s">
        <v>257</v>
      </c>
      <c r="M1538" s="114" t="str">
        <f>LEFT(Table1[[#This Row],[Tegevusala kood]],2)</f>
        <v>09</v>
      </c>
      <c r="N1538" s="53" t="str">
        <f>VLOOKUP(Table1[[#This Row],[Tegevusala kood]],Table4[[Tegevusala kood]:[Tegevusala alanimetus]],2,FALSE)</f>
        <v>Tudu kool</v>
      </c>
      <c r="O1538" s="42" t="s">
        <v>498</v>
      </c>
      <c r="P1538" s="42" t="s">
        <v>1397</v>
      </c>
      <c r="Q1538" s="53" t="str">
        <f>VLOOKUP(Table1[[#This Row],[Eelarvekonto]],Table5[[Konto]:[Kontode alanimetus]],5,FALSE)</f>
        <v>Majandamiskulud</v>
      </c>
      <c r="R1538" s="53" t="str">
        <f>VLOOKUP(Table1[[#This Row],[Tegevusala kood]],Table4[[Tegevusala kood]:[Tegevusala alanimetus]],4,FALSE)</f>
        <v>Põhihariduse otsekulud</v>
      </c>
      <c r="S1538" s="53"/>
      <c r="T1538" s="53"/>
      <c r="U1538" s="53">
        <f>Table1[[#This Row],[Summa]]+Table1[[#This Row],[I Muudatus]]+Table1[[#This Row],[II Muudatus]]</f>
        <v>456</v>
      </c>
    </row>
    <row r="1539" spans="1:21" ht="14.25" hidden="1" customHeight="1" x14ac:dyDescent="0.25">
      <c r="A1539" s="42" t="s">
        <v>1562</v>
      </c>
      <c r="B1539" s="42">
        <v>11003.736920777279</v>
      </c>
      <c r="C1539" s="42">
        <v>5002</v>
      </c>
      <c r="D1539" s="53" t="str">
        <f>LEFT(Table1[[#This Row],[Eelarvekonto]],2)</f>
        <v>50</v>
      </c>
      <c r="E1539" s="53" t="str">
        <f>VLOOKUP(Table1[[#This Row],[Eelarvekonto]],Table5[[Konto]:[Konto nimetus]],2,FALSE)</f>
        <v>Töötajate töötasud</v>
      </c>
      <c r="F1539" s="42" t="s">
        <v>139</v>
      </c>
      <c r="G1539" s="42" t="s">
        <v>24</v>
      </c>
      <c r="H1539" s="42"/>
      <c r="I1539" s="42"/>
      <c r="J1539" s="42" t="s">
        <v>258</v>
      </c>
      <c r="K1539" s="42" t="s">
        <v>256</v>
      </c>
      <c r="L1539" s="113" t="s">
        <v>257</v>
      </c>
      <c r="M1539" s="114" t="str">
        <f>LEFT(Table1[[#This Row],[Tegevusala kood]],2)</f>
        <v>09</v>
      </c>
      <c r="N1539" s="53" t="str">
        <f>VLOOKUP(Table1[[#This Row],[Tegevusala kood]],Table4[[Tegevusala kood]:[Tegevusala alanimetus]],2,FALSE)</f>
        <v>Tudu kool</v>
      </c>
      <c r="O1539" s="42" t="s">
        <v>498</v>
      </c>
      <c r="P1539" s="42" t="s">
        <v>1397</v>
      </c>
      <c r="Q1539" s="53" t="str">
        <f>VLOOKUP(Table1[[#This Row],[Eelarvekonto]],Table5[[Konto]:[Kontode alanimetus]],5,FALSE)</f>
        <v>Tööjõukulud</v>
      </c>
      <c r="R1539" s="53" t="str">
        <f>VLOOKUP(Table1[[#This Row],[Tegevusala kood]],Table4[[Tegevusala kood]:[Tegevusala alanimetus]],4,FALSE)</f>
        <v>Põhihariduse otsekulud</v>
      </c>
      <c r="S1539" s="53"/>
      <c r="T1539" s="53"/>
      <c r="U1539" s="53">
        <f>Table1[[#This Row],[Summa]]+Table1[[#This Row],[I Muudatus]]+Table1[[#This Row],[II Muudatus]]</f>
        <v>11003.736920777279</v>
      </c>
    </row>
    <row r="1540" spans="1:21" ht="14.25" hidden="1" customHeight="1" x14ac:dyDescent="0.25">
      <c r="A1540" s="42" t="s">
        <v>158</v>
      </c>
      <c r="B1540" s="42">
        <v>3719.2630792227205</v>
      </c>
      <c r="C1540" s="42">
        <v>506</v>
      </c>
      <c r="D1540" s="53" t="str">
        <f>LEFT(Table1[[#This Row],[Eelarvekonto]],2)</f>
        <v>50</v>
      </c>
      <c r="E1540" s="53" t="str">
        <f>VLOOKUP(Table1[[#This Row],[Eelarvekonto]],Table5[[Konto]:[Konto nimetus]],2,FALSE)</f>
        <v>Tööjõukuludega kaasnevad maksud ja sotsiaalkindlustusmaksed</v>
      </c>
      <c r="F1540" s="42" t="s">
        <v>139</v>
      </c>
      <c r="G1540" s="42" t="s">
        <v>24</v>
      </c>
      <c r="H1540" s="42"/>
      <c r="I1540" s="42"/>
      <c r="J1540" s="42" t="s">
        <v>258</v>
      </c>
      <c r="K1540" s="42" t="s">
        <v>256</v>
      </c>
      <c r="L1540" s="113" t="s">
        <v>257</v>
      </c>
      <c r="M1540" s="114" t="str">
        <f>LEFT(Table1[[#This Row],[Tegevusala kood]],2)</f>
        <v>09</v>
      </c>
      <c r="N1540" s="53" t="str">
        <f>VLOOKUP(Table1[[#This Row],[Tegevusala kood]],Table4[[Tegevusala kood]:[Tegevusala alanimetus]],2,FALSE)</f>
        <v>Tudu kool</v>
      </c>
      <c r="O1540" s="42" t="s">
        <v>498</v>
      </c>
      <c r="P1540" s="42" t="s">
        <v>1397</v>
      </c>
      <c r="Q1540" s="53" t="str">
        <f>VLOOKUP(Table1[[#This Row],[Eelarvekonto]],Table5[[Konto]:[Kontode alanimetus]],5,FALSE)</f>
        <v>Tööjõukulud</v>
      </c>
      <c r="R1540" s="53" t="str">
        <f>VLOOKUP(Table1[[#This Row],[Tegevusala kood]],Table4[[Tegevusala kood]:[Tegevusala alanimetus]],4,FALSE)</f>
        <v>Põhihariduse otsekulud</v>
      </c>
      <c r="S1540" s="53"/>
      <c r="T1540" s="53"/>
      <c r="U1540" s="53">
        <f>Table1[[#This Row],[Summa]]+Table1[[#This Row],[I Muudatus]]+Table1[[#This Row],[II Muudatus]]</f>
        <v>3719.2630792227205</v>
      </c>
    </row>
    <row r="1541" spans="1:21" ht="14.25" hidden="1" customHeight="1" x14ac:dyDescent="0.25">
      <c r="A1541" s="42" t="s">
        <v>158</v>
      </c>
      <c r="B1541" s="66">
        <v>197040.35874439465</v>
      </c>
      <c r="C1541" s="42">
        <v>506</v>
      </c>
      <c r="D1541" s="53" t="str">
        <f>LEFT(Table1[[#This Row],[Eelarvekonto]],2)</f>
        <v>50</v>
      </c>
      <c r="E1541" s="53" t="str">
        <f>VLOOKUP(Table1[[#This Row],[Eelarvekonto]],Table5[[Konto]:[Konto nimetus]],2,FALSE)</f>
        <v>Tööjõukuludega kaasnevad maksud ja sotsiaalkindlustusmaksed</v>
      </c>
      <c r="F1541" s="42" t="s">
        <v>139</v>
      </c>
      <c r="G1541" s="42" t="s">
        <v>24</v>
      </c>
      <c r="H1541" s="42" t="s">
        <v>1</v>
      </c>
      <c r="I1541" s="42" t="s">
        <v>1</v>
      </c>
      <c r="J1541" s="42" t="s">
        <v>252</v>
      </c>
      <c r="K1541" s="42" t="s">
        <v>251</v>
      </c>
      <c r="L1541" s="113" t="s">
        <v>250</v>
      </c>
      <c r="M1541" s="114" t="str">
        <f>LEFT(Table1[[#This Row],[Tegevusala kood]],2)</f>
        <v>09</v>
      </c>
      <c r="N1541" s="53" t="str">
        <f>VLOOKUP(Table1[[#This Row],[Tegevusala kood]],Table4[[Tegevusala kood]:[Tegevusala alanimetus]],2,FALSE)</f>
        <v>Vinni-Pajusti Gümnaasium</v>
      </c>
      <c r="O1541" s="42" t="s">
        <v>498</v>
      </c>
      <c r="P1541" s="42" t="s">
        <v>1397</v>
      </c>
      <c r="Q1541" s="53" t="str">
        <f>VLOOKUP(Table1[[#This Row],[Eelarvekonto]],Table5[[Konto]:[Kontode alanimetus]],5,FALSE)</f>
        <v>Tööjõukulud</v>
      </c>
      <c r="R1541" s="53" t="str">
        <f>VLOOKUP(Table1[[#This Row],[Tegevusala kood]],Table4[[Tegevusala kood]:[Tegevusala alanimetus]],4,FALSE)</f>
        <v>Põhihariduse otsekulud</v>
      </c>
      <c r="S1541" s="53"/>
      <c r="T1541" s="53"/>
      <c r="U1541" s="53">
        <f>Table1[[#This Row],[Summa]]+Table1[[#This Row],[I Muudatus]]+Table1[[#This Row],[II Muudatus]]</f>
        <v>197040.35874439465</v>
      </c>
    </row>
    <row r="1542" spans="1:21" ht="14.25" hidden="1" customHeight="1" x14ac:dyDescent="0.25">
      <c r="A1542" s="42" t="s">
        <v>1557</v>
      </c>
      <c r="B1542" s="66">
        <f>780000/1.338</f>
        <v>582959.64125560538</v>
      </c>
      <c r="C1542" s="42">
        <v>5002</v>
      </c>
      <c r="D1542" s="53" t="str">
        <f>LEFT(Table1[[#This Row],[Eelarvekonto]],2)</f>
        <v>50</v>
      </c>
      <c r="E1542" s="53" t="str">
        <f>VLOOKUP(Table1[[#This Row],[Eelarvekonto]],Table5[[Konto]:[Konto nimetus]],2,FALSE)</f>
        <v>Töötajate töötasud</v>
      </c>
      <c r="F1542" s="42" t="s">
        <v>139</v>
      </c>
      <c r="G1542" s="42" t="s">
        <v>24</v>
      </c>
      <c r="H1542" s="42" t="s">
        <v>1</v>
      </c>
      <c r="I1542" s="42" t="s">
        <v>1</v>
      </c>
      <c r="J1542" s="42" t="s">
        <v>252</v>
      </c>
      <c r="K1542" s="42" t="s">
        <v>251</v>
      </c>
      <c r="L1542" s="113" t="s">
        <v>250</v>
      </c>
      <c r="M1542" s="114" t="str">
        <f>LEFT(Table1[[#This Row],[Tegevusala kood]],2)</f>
        <v>09</v>
      </c>
      <c r="N1542" s="53" t="str">
        <f>VLOOKUP(Table1[[#This Row],[Tegevusala kood]],Table4[[Tegevusala kood]:[Tegevusala alanimetus]],2,FALSE)</f>
        <v>Vinni-Pajusti Gümnaasium</v>
      </c>
      <c r="O1542" s="42" t="s">
        <v>498</v>
      </c>
      <c r="P1542" s="42" t="s">
        <v>1397</v>
      </c>
      <c r="Q1542" s="53" t="str">
        <f>VLOOKUP(Table1[[#This Row],[Eelarvekonto]],Table5[[Konto]:[Kontode alanimetus]],5,FALSE)</f>
        <v>Tööjõukulud</v>
      </c>
      <c r="R1542" s="53" t="str">
        <f>VLOOKUP(Table1[[#This Row],[Tegevusala kood]],Table4[[Tegevusala kood]:[Tegevusala alanimetus]],4,FALSE)</f>
        <v>Põhihariduse otsekulud</v>
      </c>
      <c r="S1542" s="53"/>
      <c r="T1542" s="53"/>
      <c r="U1542" s="53">
        <f>Table1[[#This Row],[Summa]]+Table1[[#This Row],[I Muudatus]]+Table1[[#This Row],[II Muudatus]]</f>
        <v>582959.64125560538</v>
      </c>
    </row>
    <row r="1543" spans="1:21" ht="14.25" hidden="1" customHeight="1" x14ac:dyDescent="0.25">
      <c r="A1543" s="42" t="s">
        <v>160</v>
      </c>
      <c r="B1543" s="42">
        <v>74025</v>
      </c>
      <c r="C1543" s="42">
        <v>5521</v>
      </c>
      <c r="D1543" s="53" t="str">
        <f>LEFT(Table1[[#This Row],[Eelarvekonto]],2)</f>
        <v>55</v>
      </c>
      <c r="E1543" s="53" t="str">
        <f>VLOOKUP(Table1[[#This Row],[Eelarvekonto]],Table5[[Konto]:[Konto nimetus]],2,FALSE)</f>
        <v>Toiduained ja toitlustusteenused</v>
      </c>
      <c r="F1543" s="42" t="s">
        <v>139</v>
      </c>
      <c r="G1543" s="42" t="s">
        <v>24</v>
      </c>
      <c r="H1543" s="42" t="s">
        <v>1</v>
      </c>
      <c r="I1543" s="42" t="s">
        <v>1</v>
      </c>
      <c r="J1543" s="42" t="s">
        <v>252</v>
      </c>
      <c r="K1543" s="42" t="s">
        <v>251</v>
      </c>
      <c r="L1543" s="113" t="s">
        <v>250</v>
      </c>
      <c r="M1543" s="114" t="str">
        <f>LEFT(Table1[[#This Row],[Tegevusala kood]],2)</f>
        <v>09</v>
      </c>
      <c r="N1543" s="53" t="str">
        <f>VLOOKUP(Table1[[#This Row],[Tegevusala kood]],Table4[[Tegevusala kood]:[Tegevusala alanimetus]],2,FALSE)</f>
        <v>Vinni-Pajusti Gümnaasium</v>
      </c>
      <c r="O1543" s="42" t="s">
        <v>498</v>
      </c>
      <c r="P1543" s="42" t="s">
        <v>1397</v>
      </c>
      <c r="Q1543" s="53" t="str">
        <f>VLOOKUP(Table1[[#This Row],[Eelarvekonto]],Table5[[Konto]:[Kontode alanimetus]],5,FALSE)</f>
        <v>Majandamiskulud</v>
      </c>
      <c r="R1543" s="53" t="str">
        <f>VLOOKUP(Table1[[#This Row],[Tegevusala kood]],Table4[[Tegevusala kood]:[Tegevusala alanimetus]],4,FALSE)</f>
        <v>Põhihariduse otsekulud</v>
      </c>
      <c r="S1543" s="53"/>
      <c r="T1543" s="53"/>
      <c r="U1543" s="53">
        <f>Table1[[#This Row],[Summa]]+Table1[[#This Row],[I Muudatus]]+Table1[[#This Row],[II Muudatus]]</f>
        <v>74025</v>
      </c>
    </row>
    <row r="1544" spans="1:21" ht="14.25" hidden="1" customHeight="1" x14ac:dyDescent="0.25">
      <c r="A1544" s="42" t="s">
        <v>1558</v>
      </c>
      <c r="B1544" s="42">
        <v>7270</v>
      </c>
      <c r="C1544" s="42">
        <v>5504</v>
      </c>
      <c r="D1544" s="53" t="str">
        <f>LEFT(Table1[[#This Row],[Eelarvekonto]],2)</f>
        <v>55</v>
      </c>
      <c r="E1544" s="53" t="str">
        <f>VLOOKUP(Table1[[#This Row],[Eelarvekonto]],Table5[[Konto]:[Konto nimetus]],2,FALSE)</f>
        <v>Koolituskulud (sh koolituslähetus)</v>
      </c>
      <c r="F1544" s="42" t="s">
        <v>139</v>
      </c>
      <c r="G1544" s="42" t="s">
        <v>24</v>
      </c>
      <c r="H1544" s="42"/>
      <c r="I1544" s="42"/>
      <c r="J1544" s="42" t="s">
        <v>252</v>
      </c>
      <c r="K1544" s="42" t="s">
        <v>251</v>
      </c>
      <c r="L1544" s="113" t="s">
        <v>250</v>
      </c>
      <c r="M1544" s="114" t="str">
        <f>LEFT(Table1[[#This Row],[Tegevusala kood]],2)</f>
        <v>09</v>
      </c>
      <c r="N1544" s="53" t="str">
        <f>VLOOKUP(Table1[[#This Row],[Tegevusala kood]],Table4[[Tegevusala kood]:[Tegevusala alanimetus]],2,FALSE)</f>
        <v>Vinni-Pajusti Gümnaasium</v>
      </c>
      <c r="O1544" s="42" t="s">
        <v>498</v>
      </c>
      <c r="P1544" s="42" t="s">
        <v>1397</v>
      </c>
      <c r="Q1544" s="53" t="str">
        <f>VLOOKUP(Table1[[#This Row],[Eelarvekonto]],Table5[[Konto]:[Kontode alanimetus]],5,FALSE)</f>
        <v>Majandamiskulud</v>
      </c>
      <c r="R1544" s="53" t="str">
        <f>VLOOKUP(Table1[[#This Row],[Tegevusala kood]],Table4[[Tegevusala kood]:[Tegevusala alanimetus]],4,FALSE)</f>
        <v>Põhihariduse otsekulud</v>
      </c>
      <c r="S1544" s="53"/>
      <c r="T1544" s="53"/>
      <c r="U1544" s="53">
        <f>Table1[[#This Row],[Summa]]+Table1[[#This Row],[I Muudatus]]+Table1[[#This Row],[II Muudatus]]</f>
        <v>7270</v>
      </c>
    </row>
    <row r="1545" spans="1:21" ht="14.25" hidden="1" customHeight="1" x14ac:dyDescent="0.25">
      <c r="A1545" s="42" t="s">
        <v>1559</v>
      </c>
      <c r="B1545" s="42">
        <v>24111</v>
      </c>
      <c r="C1545" s="42">
        <v>5524</v>
      </c>
      <c r="D1545" s="53" t="str">
        <f>LEFT(Table1[[#This Row],[Eelarvekonto]],2)</f>
        <v>55</v>
      </c>
      <c r="E1545" s="53" t="str">
        <f>VLOOKUP(Table1[[#This Row],[Eelarvekonto]],Table5[[Konto]:[Konto nimetus]],2,FALSE)</f>
        <v>Õppevahendite ja koolituse kulud</v>
      </c>
      <c r="F1545" s="42" t="s">
        <v>139</v>
      </c>
      <c r="G1545" s="42" t="s">
        <v>24</v>
      </c>
      <c r="H1545" s="42"/>
      <c r="I1545" s="42"/>
      <c r="J1545" s="42" t="s">
        <v>252</v>
      </c>
      <c r="K1545" s="42" t="s">
        <v>251</v>
      </c>
      <c r="L1545" s="113" t="s">
        <v>250</v>
      </c>
      <c r="M1545" s="114" t="str">
        <f>LEFT(Table1[[#This Row],[Tegevusala kood]],2)</f>
        <v>09</v>
      </c>
      <c r="N1545" s="53" t="str">
        <f>VLOOKUP(Table1[[#This Row],[Tegevusala kood]],Table4[[Tegevusala kood]:[Tegevusala alanimetus]],2,FALSE)</f>
        <v>Vinni-Pajusti Gümnaasium</v>
      </c>
      <c r="O1545" s="42" t="s">
        <v>498</v>
      </c>
      <c r="P1545" s="42" t="s">
        <v>1397</v>
      </c>
      <c r="Q1545" s="53" t="str">
        <f>VLOOKUP(Table1[[#This Row],[Eelarvekonto]],Table5[[Konto]:[Kontode alanimetus]],5,FALSE)</f>
        <v>Majandamiskulud</v>
      </c>
      <c r="R1545" s="53" t="str">
        <f>VLOOKUP(Table1[[#This Row],[Tegevusala kood]],Table4[[Tegevusala kood]:[Tegevusala alanimetus]],4,FALSE)</f>
        <v>Põhihariduse otsekulud</v>
      </c>
      <c r="S1545" s="53"/>
      <c r="T1545" s="53"/>
      <c r="U1545" s="53">
        <f>Table1[[#This Row],[Summa]]+Table1[[#This Row],[I Muudatus]]+Table1[[#This Row],[II Muudatus]]</f>
        <v>24111</v>
      </c>
    </row>
    <row r="1546" spans="1:21" ht="14.25" hidden="1" customHeight="1" x14ac:dyDescent="0.25">
      <c r="A1546" s="42" t="s">
        <v>1562</v>
      </c>
      <c r="B1546" s="42">
        <v>47279.521674140502</v>
      </c>
      <c r="C1546" s="42">
        <v>5002</v>
      </c>
      <c r="D1546" s="53" t="str">
        <f>LEFT(Table1[[#This Row],[Eelarvekonto]],2)</f>
        <v>50</v>
      </c>
      <c r="E1546" s="53" t="str">
        <f>VLOOKUP(Table1[[#This Row],[Eelarvekonto]],Table5[[Konto]:[Konto nimetus]],2,FALSE)</f>
        <v>Töötajate töötasud</v>
      </c>
      <c r="F1546" s="42" t="s">
        <v>139</v>
      </c>
      <c r="G1546" s="42" t="s">
        <v>24</v>
      </c>
      <c r="H1546" s="42" t="s">
        <v>1</v>
      </c>
      <c r="I1546" s="42" t="s">
        <v>1</v>
      </c>
      <c r="J1546" s="42" t="s">
        <v>252</v>
      </c>
      <c r="K1546" s="42" t="s">
        <v>251</v>
      </c>
      <c r="L1546" s="113" t="s">
        <v>250</v>
      </c>
      <c r="M1546" s="114" t="str">
        <f>LEFT(Table1[[#This Row],[Tegevusala kood]],2)</f>
        <v>09</v>
      </c>
      <c r="N1546" s="53" t="str">
        <f>VLOOKUP(Table1[[#This Row],[Tegevusala kood]],Table4[[Tegevusala kood]:[Tegevusala alanimetus]],2,FALSE)</f>
        <v>Vinni-Pajusti Gümnaasium</v>
      </c>
      <c r="O1546" s="42" t="s">
        <v>498</v>
      </c>
      <c r="P1546" s="42" t="s">
        <v>1397</v>
      </c>
      <c r="Q1546" s="53" t="str">
        <f>VLOOKUP(Table1[[#This Row],[Eelarvekonto]],Table5[[Konto]:[Kontode alanimetus]],5,FALSE)</f>
        <v>Tööjõukulud</v>
      </c>
      <c r="R1546" s="53" t="str">
        <f>VLOOKUP(Table1[[#This Row],[Tegevusala kood]],Table4[[Tegevusala kood]:[Tegevusala alanimetus]],4,FALSE)</f>
        <v>Põhihariduse otsekulud</v>
      </c>
      <c r="S1546" s="53"/>
      <c r="T1546" s="53"/>
      <c r="U1546" s="53">
        <f>Table1[[#This Row],[Summa]]+Table1[[#This Row],[I Muudatus]]+Table1[[#This Row],[II Muudatus]]</f>
        <v>47279.521674140502</v>
      </c>
    </row>
    <row r="1547" spans="1:21" ht="14.25" hidden="1" customHeight="1" x14ac:dyDescent="0.25">
      <c r="A1547" s="42" t="s">
        <v>158</v>
      </c>
      <c r="B1547" s="42">
        <v>15980.478325859491</v>
      </c>
      <c r="C1547" s="42">
        <v>506</v>
      </c>
      <c r="D1547" s="53" t="str">
        <f>LEFT(Table1[[#This Row],[Eelarvekonto]],2)</f>
        <v>50</v>
      </c>
      <c r="E1547" s="53" t="str">
        <f>VLOOKUP(Table1[[#This Row],[Eelarvekonto]],Table5[[Konto]:[Konto nimetus]],2,FALSE)</f>
        <v>Tööjõukuludega kaasnevad maksud ja sotsiaalkindlustusmaksed</v>
      </c>
      <c r="F1547" s="42" t="s">
        <v>139</v>
      </c>
      <c r="G1547" s="42" t="s">
        <v>24</v>
      </c>
      <c r="H1547" s="42" t="s">
        <v>1</v>
      </c>
      <c r="I1547" s="42" t="s">
        <v>1</v>
      </c>
      <c r="J1547" s="42" t="s">
        <v>252</v>
      </c>
      <c r="K1547" s="42" t="s">
        <v>251</v>
      </c>
      <c r="L1547" s="113" t="s">
        <v>250</v>
      </c>
      <c r="M1547" s="114" t="str">
        <f>LEFT(Table1[[#This Row],[Tegevusala kood]],2)</f>
        <v>09</v>
      </c>
      <c r="N1547" s="53" t="str">
        <f>VLOOKUP(Table1[[#This Row],[Tegevusala kood]],Table4[[Tegevusala kood]:[Tegevusala alanimetus]],2,FALSE)</f>
        <v>Vinni-Pajusti Gümnaasium</v>
      </c>
      <c r="O1547" s="42" t="s">
        <v>498</v>
      </c>
      <c r="P1547" s="42" t="s">
        <v>1397</v>
      </c>
      <c r="Q1547" s="53" t="str">
        <f>VLOOKUP(Table1[[#This Row],[Eelarvekonto]],Table5[[Konto]:[Kontode alanimetus]],5,FALSE)</f>
        <v>Tööjõukulud</v>
      </c>
      <c r="R1547" s="53" t="str">
        <f>VLOOKUP(Table1[[#This Row],[Tegevusala kood]],Table4[[Tegevusala kood]:[Tegevusala alanimetus]],4,FALSE)</f>
        <v>Põhihariduse otsekulud</v>
      </c>
      <c r="S1547" s="53"/>
      <c r="T1547" s="53"/>
      <c r="U1547" s="53">
        <f>Table1[[#This Row],[Summa]]+Table1[[#This Row],[I Muudatus]]+Table1[[#This Row],[II Muudatus]]</f>
        <v>15980.478325859491</v>
      </c>
    </row>
    <row r="1548" spans="1:21" ht="14.25" hidden="1" customHeight="1" x14ac:dyDescent="0.25">
      <c r="A1548" s="42" t="s">
        <v>1563</v>
      </c>
      <c r="B1548" s="42">
        <v>161954</v>
      </c>
      <c r="C1548" s="42">
        <v>5002</v>
      </c>
      <c r="D1548" s="53" t="str">
        <f>LEFT(Table1[[#This Row],[Eelarvekonto]],2)</f>
        <v>50</v>
      </c>
      <c r="E1548" s="53" t="str">
        <f>VLOOKUP(Table1[[#This Row],[Eelarvekonto]],Table5[[Konto]:[Konto nimetus]],2,FALSE)</f>
        <v>Töötajate töötasud</v>
      </c>
      <c r="F1548" s="42" t="s">
        <v>139</v>
      </c>
      <c r="G1548" s="42" t="s">
        <v>24</v>
      </c>
      <c r="H1548" s="42" t="s">
        <v>1</v>
      </c>
      <c r="I1548" s="42" t="s">
        <v>1</v>
      </c>
      <c r="J1548" s="42" t="s">
        <v>342</v>
      </c>
      <c r="K1548" s="42" t="s">
        <v>341</v>
      </c>
      <c r="L1548" s="113" t="s">
        <v>340</v>
      </c>
      <c r="M1548" s="114" t="str">
        <f>LEFT(Table1[[#This Row],[Tegevusala kood]],2)</f>
        <v>09</v>
      </c>
      <c r="N1548" s="53" t="str">
        <f>VLOOKUP(Table1[[#This Row],[Tegevusala kood]],Table4[[Tegevusala kood]:[Tegevusala alanimetus]],2,FALSE)</f>
        <v>Halduse tagatavad kulud</v>
      </c>
      <c r="O1548" s="42" t="s">
        <v>498</v>
      </c>
      <c r="P1548" s="42" t="s">
        <v>1397</v>
      </c>
      <c r="Q1548" s="53" t="str">
        <f>VLOOKUP(Table1[[#This Row],[Eelarvekonto]],Table5[[Konto]:[Kontode alanimetus]],5,FALSE)</f>
        <v>Tööjõukulud</v>
      </c>
      <c r="R1548" s="53" t="str">
        <f>VLOOKUP(Table1[[#This Row],[Tegevusala kood]],Table4[[Tegevusala kood]:[Tegevusala alanimetus]],4,FALSE)</f>
        <v>Muu haridus, sh hariduse haldus</v>
      </c>
      <c r="S1548" s="53"/>
      <c r="T1548" s="53"/>
      <c r="U1548" s="53">
        <f>Table1[[#This Row],[Summa]]+Table1[[#This Row],[I Muudatus]]+Table1[[#This Row],[II Muudatus]]</f>
        <v>161954</v>
      </c>
    </row>
    <row r="1549" spans="1:21" ht="14.25" customHeight="1" x14ac:dyDescent="0.25">
      <c r="A1549" s="42" t="s">
        <v>1565</v>
      </c>
      <c r="B1549" s="42">
        <f>139810+7463.04+40000+37.6</f>
        <v>187310.64</v>
      </c>
      <c r="C1549" s="42">
        <v>1551</v>
      </c>
      <c r="D1549" s="53" t="str">
        <f>LEFT(Table1[[#This Row],[Eelarvekonto]],2)</f>
        <v>15</v>
      </c>
      <c r="E1549" s="53" t="str">
        <f>VLOOKUP(Table1[[#This Row],[Eelarvekonto]],Table5[[Konto]:[Konto nimetus]],2,FALSE)</f>
        <v>Hooned ja rajatised</v>
      </c>
      <c r="F1549" s="68" t="s">
        <v>956</v>
      </c>
      <c r="G1549" s="68" t="s">
        <v>891</v>
      </c>
      <c r="H1549" s="42"/>
      <c r="I1549" s="42"/>
      <c r="J1549" s="42" t="s">
        <v>726</v>
      </c>
      <c r="K1549" s="42" t="s">
        <v>703</v>
      </c>
      <c r="L1549" s="58" t="s">
        <v>279</v>
      </c>
      <c r="M1549" s="104" t="str">
        <f>LEFT(Table1[[#This Row],[Tegevusala kood]],2)</f>
        <v>09</v>
      </c>
      <c r="N1549" s="53" t="str">
        <f>VLOOKUP(Table1[[#This Row],[Tegevusala kood]],Table4[[Tegevusala kood]:[Tegevusala alanimetus]],2,FALSE)</f>
        <v>Laekvere Kool</v>
      </c>
      <c r="O1549" s="42"/>
      <c r="P1549" s="42"/>
      <c r="Q1549" s="53" t="str">
        <f>VLOOKUP(Table1[[#This Row],[Eelarvekonto]],Table5[[Konto]:[Kontode alanimetus]],5,FALSE)</f>
        <v>Põhivara soetus (-)</v>
      </c>
      <c r="R1549" s="53" t="str">
        <f>VLOOKUP(Table1[[#This Row],[Tegevusala kood]],Table4[[Tegevusala kood]:[Tegevusala alanimetus]],4,FALSE)</f>
        <v>Põhihariduse otsekulud</v>
      </c>
      <c r="S1549" s="53"/>
      <c r="T1549" s="99"/>
      <c r="U1549" s="53">
        <f>Table1[[#This Row],[Summa]]+Table1[[#This Row],[I Muudatus]]+Table1[[#This Row],[II Muudatus]]</f>
        <v>187310.64</v>
      </c>
    </row>
    <row r="1550" spans="1:21" ht="14.25" customHeight="1" x14ac:dyDescent="0.25">
      <c r="A1550" s="42" t="s">
        <v>1568</v>
      </c>
      <c r="B1550" s="42">
        <v>50968.800000000003</v>
      </c>
      <c r="C1550" s="42">
        <v>1551</v>
      </c>
      <c r="D1550" s="53" t="str">
        <f>LEFT(Table1[[#This Row],[Eelarvekonto]],2)</f>
        <v>15</v>
      </c>
      <c r="E1550" s="53" t="str">
        <f>VLOOKUP(Table1[[#This Row],[Eelarvekonto]],Table5[[Konto]:[Konto nimetus]],2,FALSE)</f>
        <v>Hooned ja rajatised</v>
      </c>
      <c r="F1550" s="68" t="s">
        <v>956</v>
      </c>
      <c r="G1550" s="68" t="s">
        <v>891</v>
      </c>
      <c r="H1550" s="42"/>
      <c r="I1550" s="42"/>
      <c r="J1550" s="42" t="s">
        <v>726</v>
      </c>
      <c r="K1550" s="42" t="s">
        <v>703</v>
      </c>
      <c r="L1550" s="42" t="s">
        <v>688</v>
      </c>
      <c r="M1550" s="116" t="str">
        <f>LEFT(Table1[[#This Row],[Tegevusala kood]],2)</f>
        <v>06</v>
      </c>
      <c r="N1550" s="53" t="str">
        <f>VLOOKUP(Table1[[#This Row],[Tegevusala kood]],Table4[[Tegevusala kood]:[Tegevusala alanimetus]],2,FALSE)</f>
        <v>Tänavavalgustus</v>
      </c>
      <c r="O1550" s="42"/>
      <c r="P1550" s="42"/>
      <c r="Q1550" s="53" t="str">
        <f>VLOOKUP(Table1[[#This Row],[Eelarvekonto]],Table5[[Konto]:[Kontode alanimetus]],5,FALSE)</f>
        <v>Põhivara soetus (-)</v>
      </c>
      <c r="R1550" s="53" t="str">
        <f>VLOOKUP(Table1[[#This Row],[Tegevusala kood]],Table4[[Tegevusala kood]:[Tegevusala alanimetus]],4,FALSE)</f>
        <v>Tänavavalgustus</v>
      </c>
      <c r="S1550" s="53"/>
      <c r="T1550" s="53"/>
      <c r="U1550" s="53">
        <f>Table1[[#This Row],[Summa]]+Table1[[#This Row],[I Muudatus]]+Table1[[#This Row],[II Muudatus]]</f>
        <v>50968.800000000003</v>
      </c>
    </row>
    <row r="1551" spans="1:21" ht="14.25" customHeight="1" x14ac:dyDescent="0.25">
      <c r="A1551" s="42" t="s">
        <v>1570</v>
      </c>
      <c r="B1551" s="42">
        <v>49950.8</v>
      </c>
      <c r="C1551" s="42">
        <v>1551</v>
      </c>
      <c r="D1551" s="53" t="str">
        <f>LEFT(Table1[[#This Row],[Eelarvekonto]],2)</f>
        <v>15</v>
      </c>
      <c r="E1551" s="53" t="str">
        <f>VLOOKUP(Table1[[#This Row],[Eelarvekonto]],Table5[[Konto]:[Konto nimetus]],2,FALSE)</f>
        <v>Hooned ja rajatised</v>
      </c>
      <c r="F1551" s="68" t="s">
        <v>956</v>
      </c>
      <c r="G1551" s="68" t="s">
        <v>891</v>
      </c>
      <c r="H1551" s="42"/>
      <c r="I1551" s="42"/>
      <c r="J1551" s="42" t="s">
        <v>726</v>
      </c>
      <c r="K1551" s="42" t="s">
        <v>703</v>
      </c>
      <c r="L1551" s="68" t="s">
        <v>229</v>
      </c>
      <c r="M1551" s="116" t="str">
        <f>LEFT(Table1[[#This Row],[Tegevusala kood]],2)</f>
        <v>08</v>
      </c>
      <c r="N1551" s="53" t="str">
        <f>VLOOKUP(Table1[[#This Row],[Tegevusala kood]],Table4[[Tegevusala kood]:[Tegevusala alanimetus]],2,FALSE)</f>
        <v>Viru-Jaagupi Raamatukogu</v>
      </c>
      <c r="O1551" s="42"/>
      <c r="P1551" s="42"/>
      <c r="Q1551" s="53" t="str">
        <f>VLOOKUP(Table1[[#This Row],[Eelarvekonto]],Table5[[Konto]:[Kontode alanimetus]],5,FALSE)</f>
        <v>Põhivara soetus (-)</v>
      </c>
      <c r="R1551" s="53" t="str">
        <f>VLOOKUP(Table1[[#This Row],[Tegevusala kood]],Table4[[Tegevusala kood]:[Tegevusala alanimetus]],4,FALSE)</f>
        <v>Raamatukogud</v>
      </c>
      <c r="S1551" s="53"/>
      <c r="T1551" s="53"/>
      <c r="U1551" s="53">
        <f>Table1[[#This Row],[Summa]]+Table1[[#This Row],[I Muudatus]]+Table1[[#This Row],[II Muudatus]]</f>
        <v>49950.8</v>
      </c>
    </row>
    <row r="1552" spans="1:21" ht="14.25" hidden="1" customHeight="1" x14ac:dyDescent="0.25">
      <c r="A1552" s="42" t="s">
        <v>1571</v>
      </c>
      <c r="B1552" s="42">
        <v>405</v>
      </c>
      <c r="C1552" s="42">
        <v>5504</v>
      </c>
      <c r="D1552" s="53" t="str">
        <f>LEFT(Table1[[#This Row],[Eelarvekonto]],2)</f>
        <v>55</v>
      </c>
      <c r="E1552" s="53" t="str">
        <f>VLOOKUP(Table1[[#This Row],[Eelarvekonto]],Table5[[Konto]:[Konto nimetus]],2,FALSE)</f>
        <v>Koolituskulud (sh koolituslähetus)</v>
      </c>
      <c r="F1552" s="68" t="s">
        <v>139</v>
      </c>
      <c r="G1552" s="68" t="s">
        <v>24</v>
      </c>
      <c r="H1552" s="68"/>
      <c r="I1552" s="68"/>
      <c r="J1552" s="68" t="s">
        <v>293</v>
      </c>
      <c r="K1552" s="68" t="s">
        <v>291</v>
      </c>
      <c r="L1552" s="58" t="s">
        <v>292</v>
      </c>
      <c r="M1552" s="104" t="str">
        <f>LEFT(Table1[[#This Row],[Tegevusala kood]],2)</f>
        <v>09</v>
      </c>
      <c r="N1552" s="53" t="str">
        <f>VLOOKUP(Table1[[#This Row],[Tegevusala kood]],Table4[[Tegevusala kood]:[Tegevusala alanimetus]],2,FALSE)</f>
        <v>Pajusti Lasteaed Pajustis</v>
      </c>
      <c r="O1552" s="42"/>
      <c r="P1552" s="42"/>
      <c r="Q1552" s="53" t="str">
        <f>VLOOKUP(Table1[[#This Row],[Eelarvekonto]],Table5[[Konto]:[Kontode alanimetus]],5,FALSE)</f>
        <v>Majandamiskulud</v>
      </c>
      <c r="R1552" s="53" t="str">
        <f>VLOOKUP(Table1[[#This Row],[Tegevusala kood]],Table4[[Tegevusala kood]:[Tegevusala alanimetus]],4,FALSE)</f>
        <v>Alusharidus</v>
      </c>
      <c r="S1552" s="53"/>
      <c r="T1552" s="53"/>
      <c r="U1552" s="53">
        <f>Table1[[#This Row],[Summa]]+Table1[[#This Row],[I Muudatus]]+Table1[[#This Row],[II Muudatus]]</f>
        <v>405</v>
      </c>
    </row>
    <row r="1553" spans="1:21" ht="14.25" hidden="1" customHeight="1" x14ac:dyDescent="0.25">
      <c r="A1553" s="42" t="s">
        <v>1571</v>
      </c>
      <c r="B1553" s="42">
        <v>180</v>
      </c>
      <c r="C1553" s="42">
        <v>5504</v>
      </c>
      <c r="D1553" s="53" t="str">
        <f>LEFT(Table1[[#This Row],[Eelarvekonto]],2)</f>
        <v>55</v>
      </c>
      <c r="E1553" s="53" t="str">
        <f>VLOOKUP(Table1[[#This Row],[Eelarvekonto]],Table5[[Konto]:[Konto nimetus]],2,FALSE)</f>
        <v>Koolituskulud (sh koolituslähetus)</v>
      </c>
      <c r="F1553" s="42" t="s">
        <v>139</v>
      </c>
      <c r="G1553" s="42" t="s">
        <v>24</v>
      </c>
      <c r="H1553" s="42"/>
      <c r="I1553" s="42"/>
      <c r="J1553" s="42" t="s">
        <v>283</v>
      </c>
      <c r="K1553" s="42" t="s">
        <v>281</v>
      </c>
      <c r="L1553" s="62" t="s">
        <v>282</v>
      </c>
      <c r="M1553" s="104" t="str">
        <f>LEFT(Table1[[#This Row],[Tegevusala kood]],2)</f>
        <v>09</v>
      </c>
      <c r="N1553" s="53" t="str">
        <f>VLOOKUP(Table1[[#This Row],[Tegevusala kood]],Table4[[Tegevusala kood]:[Tegevusala alanimetus]],2,FALSE)</f>
        <v>Pajusti Lasteaed Ulvis</v>
      </c>
      <c r="O1553" s="42"/>
      <c r="P1553" s="42"/>
      <c r="Q1553" s="53" t="str">
        <f>VLOOKUP(Table1[[#This Row],[Eelarvekonto]],Table5[[Konto]:[Kontode alanimetus]],5,FALSE)</f>
        <v>Majandamiskulud</v>
      </c>
      <c r="R1553" s="53" t="str">
        <f>VLOOKUP(Table1[[#This Row],[Tegevusala kood]],Table4[[Tegevusala kood]:[Tegevusala alanimetus]],4,FALSE)</f>
        <v>Alusharidus</v>
      </c>
      <c r="S1553" s="53"/>
      <c r="T1553" s="53"/>
      <c r="U1553" s="53">
        <f>Table1[[#This Row],[Summa]]+Table1[[#This Row],[I Muudatus]]+Table1[[#This Row],[II Muudatus]]</f>
        <v>180</v>
      </c>
    </row>
    <row r="1554" spans="1:21" hidden="1" x14ac:dyDescent="0.25">
      <c r="A1554" s="42" t="s">
        <v>1578</v>
      </c>
      <c r="B1554" s="42">
        <v>5000</v>
      </c>
      <c r="C1554" s="42">
        <v>5515</v>
      </c>
      <c r="D1554" s="53" t="str">
        <f>LEFT(Table1[[#This Row],[Eelarvekonto]],2)</f>
        <v>55</v>
      </c>
      <c r="E1554" s="53" t="str">
        <f>VLOOKUP(Table1[[#This Row],[Eelarvekonto]],Table5[[Konto]:[Konto nimetus]],2,FALSE)</f>
        <v>Inventari majandamiskulud</v>
      </c>
      <c r="F1554" s="42" t="s">
        <v>139</v>
      </c>
      <c r="G1554" s="42" t="s">
        <v>24</v>
      </c>
      <c r="H1554" s="42"/>
      <c r="I1554" s="42"/>
      <c r="J1554" s="42" t="s">
        <v>247</v>
      </c>
      <c r="K1554" s="42" t="s">
        <v>95</v>
      </c>
      <c r="L1554" s="119" t="s">
        <v>246</v>
      </c>
      <c r="M1554" s="116" t="str">
        <f>LEFT(Table1[[#This Row],[Tegevusala kood]],2)</f>
        <v>08</v>
      </c>
      <c r="N1554" s="53" t="str">
        <f>VLOOKUP(Table1[[#This Row],[Tegevusala kood]],Table4[[Tegevusala kood]:[Tegevusala alanimetus]],2,FALSE)</f>
        <v>Laekvere Raamatukogu</v>
      </c>
      <c r="O1554" s="42"/>
      <c r="P1554" s="42"/>
      <c r="Q1554" s="53" t="str">
        <f>VLOOKUP(Table1[[#This Row],[Eelarvekonto]],Table5[[Konto]:[Kontode alanimetus]],5,FALSE)</f>
        <v>Majandamiskulud</v>
      </c>
      <c r="R1554" s="53" t="str">
        <f>VLOOKUP(Table1[[#This Row],[Tegevusala kood]],Table4[[Tegevusala kood]:[Tegevusala alanimetus]],4,FALSE)</f>
        <v>Raamatukogud</v>
      </c>
      <c r="S1554" s="53"/>
      <c r="T1554" s="53"/>
      <c r="U1554" s="53">
        <f>Table1[[#This Row],[Summa]]+Table1[[#This Row],[I Muudatus]]+Table1[[#This Row],[II Muudatus]]</f>
        <v>5000</v>
      </c>
    </row>
    <row r="1555" spans="1:21" hidden="1" x14ac:dyDescent="0.25">
      <c r="A1555" s="42" t="s">
        <v>1579</v>
      </c>
      <c r="B1555" s="42">
        <v>9000</v>
      </c>
      <c r="C1555" s="42">
        <v>5511</v>
      </c>
      <c r="D1555" s="53" t="str">
        <f>LEFT(Table1[[#This Row],[Eelarvekonto]],2)</f>
        <v>55</v>
      </c>
      <c r="E1555" s="53" t="str">
        <f>VLOOKUP(Table1[[#This Row],[Eelarvekonto]],Table5[[Konto]:[Konto nimetus]],2,FALSE)</f>
        <v>Kinnistute, hoonete ja ruumide majandamiskulud</v>
      </c>
      <c r="F1555" s="42" t="s">
        <v>139</v>
      </c>
      <c r="G1555" s="42" t="s">
        <v>24</v>
      </c>
      <c r="H1555" s="42"/>
      <c r="I1555" s="42"/>
      <c r="J1555" s="68" t="s">
        <v>139</v>
      </c>
      <c r="K1555" s="68" t="s">
        <v>54</v>
      </c>
      <c r="L1555" s="58" t="s">
        <v>404</v>
      </c>
      <c r="M1555" s="116" t="str">
        <f>LEFT(Table1[[#This Row],[Tegevusala kood]],2)</f>
        <v>01</v>
      </c>
      <c r="N1555" s="53" t="str">
        <f>VLOOKUP(Table1[[#This Row],[Tegevusala kood]],Table4[[Tegevusala kood]:[Tegevusala alanimetus]],2,FALSE)</f>
        <v>Valla- ja linnavalitsus</v>
      </c>
      <c r="O1555" s="42"/>
      <c r="P1555" s="42"/>
      <c r="Q1555" s="53" t="str">
        <f>VLOOKUP(Table1[[#This Row],[Eelarvekonto]],Table5[[Konto]:[Kontode alanimetus]],5,FALSE)</f>
        <v>Majandamiskulud</v>
      </c>
      <c r="R1555" s="53" t="str">
        <f>VLOOKUP(Table1[[#This Row],[Tegevusala kood]],Table4[[Tegevusala kood]:[Tegevusala alanimetus]],4,FALSE)</f>
        <v>Valla- ja linnavalitsus</v>
      </c>
      <c r="S1555" s="53"/>
      <c r="T1555" s="53"/>
      <c r="U1555" s="53">
        <f>Table1[[#This Row],[Summa]]+Table1[[#This Row],[I Muudatus]]+Table1[[#This Row],[II Muudatus]]</f>
        <v>9000</v>
      </c>
    </row>
  </sheetData>
  <pageMargins left="0.75" right="0.75" top="1" bottom="1" header="0.5" footer="0.5"/>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8"/>
  <sheetViews>
    <sheetView zoomScale="85" zoomScaleNormal="85" workbookViewId="0">
      <selection activeCell="A10" activeCellId="1" sqref="A5:A6 A8:A15 A17"/>
      <pivotSelection pane="bottomRight" showHeader="1" dimension="1" activeRow="9" click="1" r:id="rId1">
        <pivotArea dataOnly="0" labelOnly="1" fieldPosition="0">
          <references count="1">
            <reference field="14" count="0"/>
          </references>
        </pivotArea>
      </pivotSelection>
    </sheetView>
  </sheetViews>
  <sheetFormatPr defaultRowHeight="14.4" x14ac:dyDescent="0.3"/>
  <cols>
    <col min="1" max="1" width="59" bestFit="1" customWidth="1"/>
    <col min="2" max="2" width="14.33203125" bestFit="1" customWidth="1"/>
    <col min="3" max="3" width="18.44140625" bestFit="1" customWidth="1"/>
    <col min="4" max="4" width="18.44140625" customWidth="1"/>
  </cols>
  <sheetData>
    <row r="3" spans="1:2" x14ac:dyDescent="0.3">
      <c r="A3" s="48" t="s">
        <v>1423</v>
      </c>
      <c r="B3" t="s">
        <v>887</v>
      </c>
    </row>
    <row r="4" spans="1:2" x14ac:dyDescent="0.3">
      <c r="A4" s="49" t="s">
        <v>911</v>
      </c>
      <c r="B4" s="51"/>
    </row>
    <row r="5" spans="1:2" x14ac:dyDescent="0.3">
      <c r="A5" s="50" t="s">
        <v>40</v>
      </c>
      <c r="B5" s="51">
        <v>970075</v>
      </c>
    </row>
    <row r="6" spans="1:2" x14ac:dyDescent="0.3">
      <c r="A6" s="50" t="s">
        <v>38</v>
      </c>
      <c r="B6" s="51">
        <v>0</v>
      </c>
    </row>
    <row r="7" spans="1:2" x14ac:dyDescent="0.3">
      <c r="A7" s="49" t="s">
        <v>7</v>
      </c>
      <c r="B7" s="51"/>
    </row>
    <row r="8" spans="1:2" x14ac:dyDescent="0.3">
      <c r="A8" s="50" t="s">
        <v>16</v>
      </c>
      <c r="B8" s="51">
        <v>44000</v>
      </c>
    </row>
    <row r="9" spans="1:2" x14ac:dyDescent="0.3">
      <c r="A9" s="50" t="s">
        <v>12</v>
      </c>
      <c r="B9" s="51">
        <v>1620916.4100000001</v>
      </c>
    </row>
    <row r="10" spans="1:2" x14ac:dyDescent="0.3">
      <c r="A10" s="50" t="s">
        <v>9</v>
      </c>
      <c r="B10" s="51">
        <v>5288424.9875999996</v>
      </c>
    </row>
    <row r="11" spans="1:2" x14ac:dyDescent="0.3">
      <c r="A11" s="50" t="s">
        <v>20</v>
      </c>
      <c r="B11" s="51">
        <v>14900</v>
      </c>
    </row>
    <row r="12" spans="1:2" x14ac:dyDescent="0.3">
      <c r="A12" s="50" t="s">
        <v>19</v>
      </c>
      <c r="B12" s="51">
        <v>17100</v>
      </c>
    </row>
    <row r="13" spans="1:2" x14ac:dyDescent="0.3">
      <c r="A13" s="50" t="s">
        <v>10</v>
      </c>
      <c r="B13" s="51">
        <v>490000</v>
      </c>
    </row>
    <row r="14" spans="1:2" x14ac:dyDescent="0.3">
      <c r="A14" s="50" t="s">
        <v>15</v>
      </c>
      <c r="B14" s="51">
        <v>2984584</v>
      </c>
    </row>
    <row r="15" spans="1:2" x14ac:dyDescent="0.3">
      <c r="A15" s="50" t="s">
        <v>14</v>
      </c>
      <c r="B15" s="51">
        <v>1376806</v>
      </c>
    </row>
    <row r="16" spans="1:2" x14ac:dyDescent="0.3">
      <c r="A16" s="49" t="s">
        <v>46</v>
      </c>
      <c r="B16" s="51"/>
    </row>
    <row r="17" spans="1:2" x14ac:dyDescent="0.3">
      <c r="A17" s="50" t="s">
        <v>47</v>
      </c>
      <c r="B17" s="51">
        <v>1815000</v>
      </c>
    </row>
    <row r="18" spans="1:2" x14ac:dyDescent="0.3">
      <c r="A18" s="49" t="s">
        <v>1425</v>
      </c>
      <c r="B18" s="51">
        <v>14621806.397599999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EA_aruanne</vt:lpstr>
      <vt:lpstr>EA_aruanne analüüs</vt:lpstr>
      <vt:lpstr>Lisa 1 Investeeringud 2022</vt:lpstr>
      <vt:lpstr>Kulud</vt:lpstr>
      <vt:lpstr>Kulud tegevusalade lõikes</vt:lpstr>
      <vt:lpstr>Kulude ülevaade asutuste lõikes</vt:lpstr>
      <vt:lpstr>Töötasud</vt:lpstr>
      <vt:lpstr>Eelarve kulud 2022</vt:lpstr>
      <vt:lpstr>Tulud</vt:lpstr>
      <vt:lpstr>Eelarve tulud 2022</vt:lpstr>
      <vt:lpstr>Kontode täpsustused</vt:lpstr>
      <vt:lpstr>Tegevusalade nimetused</vt:lpstr>
      <vt:lpstr>'EA_aruanne analüüs'!Print_Area</vt:lpstr>
      <vt:lpstr>'Tegevusalade nimetused'!Print_Area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Tiina</dc:creator>
  <cp:lastModifiedBy>Kätlin</cp:lastModifiedBy>
  <cp:lastPrinted>2021-06-21T12:56:04Z</cp:lastPrinted>
  <dcterms:created xsi:type="dcterms:W3CDTF">2020-09-01T06:05:32Z</dcterms:created>
  <dcterms:modified xsi:type="dcterms:W3CDTF">2021-12-10T15:42:18Z</dcterms:modified>
</cp:coreProperties>
</file>